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19\04- Oct-Dic_2019\"/>
    </mc:Choice>
  </mc:AlternateContent>
  <xr:revisionPtr revIDLastSave="0" documentId="13_ncr:1_{6BC113F4-F2D0-4B88-B523-6FE9F26075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CT DIC 19" sheetId="4" r:id="rId1"/>
  </sheets>
  <definedNames>
    <definedName name="ACAPONETA">#REF!</definedName>
    <definedName name="AHUACATLAN">#REF!</definedName>
    <definedName name="AMATLAN">#REF!</definedName>
    <definedName name="_xlnm.Print_Area" localSheetId="0">'OCT DIC 19'!$A$1:$G$733</definedName>
    <definedName name="BAHIA">#REF!</definedName>
    <definedName name="COMPOSTELA">#REF!</definedName>
    <definedName name="datos" localSheetId="0">'OCT DIC 19'!#REF!</definedName>
    <definedName name="datos">#REF!</definedName>
    <definedName name="HUAJICORI">#REF!</definedName>
    <definedName name="IXTLÁN">#REF!</definedName>
    <definedName name="JALA">#REF!</definedName>
    <definedName name="LAYESCA">#REF!</definedName>
    <definedName name="NAYAR">#REF!</definedName>
    <definedName name="ROSAMORADA">#REF!</definedName>
    <definedName name="RUIZ">#REF!</definedName>
    <definedName name="SANBLAS">#REF!</definedName>
    <definedName name="SANPEDRO">#REF!</definedName>
    <definedName name="SANTA">#REF!</definedName>
    <definedName name="SANTIAGO">#REF!</definedName>
    <definedName name="TECUALA">#REF!</definedName>
    <definedName name="TEPIC">#REF!</definedName>
    <definedName name="_xlnm.Print_Titles" localSheetId="0">'OCT DIC 19'!$1:$17</definedName>
    <definedName name="TUXPAN">#REF!</definedName>
    <definedName name="XALIS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12" i="4" l="1"/>
  <c r="J721" i="4"/>
  <c r="J680" i="4"/>
  <c r="J687" i="4"/>
  <c r="J647" i="4"/>
  <c r="J652" i="4"/>
  <c r="F650" i="4"/>
  <c r="J618" i="4"/>
  <c r="J609" i="4"/>
  <c r="J584" i="4"/>
  <c r="J575" i="4"/>
  <c r="J550" i="4"/>
  <c r="J541" i="4"/>
  <c r="J516" i="4"/>
  <c r="J511" i="4"/>
  <c r="J481" i="4"/>
  <c r="J478" i="4"/>
  <c r="J447" i="4"/>
  <c r="J442" i="4"/>
  <c r="J408" i="4"/>
  <c r="J413" i="4"/>
  <c r="J374" i="4"/>
  <c r="J379" i="4"/>
  <c r="J345" i="4"/>
  <c r="J336" i="4"/>
  <c r="J311" i="4"/>
  <c r="J301" i="4"/>
  <c r="J268" i="4"/>
  <c r="J277" i="4"/>
  <c r="J243" i="4"/>
  <c r="J238" i="4"/>
  <c r="J209" i="4"/>
  <c r="J205" i="4"/>
  <c r="J166" i="4"/>
  <c r="J175" i="4"/>
  <c r="J130" i="4"/>
  <c r="J141" i="4"/>
  <c r="J98" i="4"/>
  <c r="J107" i="4"/>
  <c r="J73" i="4"/>
  <c r="J63" i="4"/>
  <c r="J39" i="4"/>
  <c r="J30" i="4"/>
  <c r="F735" i="4"/>
  <c r="E719" i="4"/>
  <c r="F582" i="4"/>
  <c r="F132" i="4"/>
  <c r="F643" i="4" l="1"/>
  <c r="F652" i="4" l="1"/>
  <c r="E718" i="4"/>
  <c r="E717" i="4"/>
  <c r="F657" i="4"/>
  <c r="F623" i="4"/>
  <c r="F616" i="4"/>
  <c r="F105" i="4" l="1"/>
  <c r="E726" i="4" l="1"/>
  <c r="E725" i="4"/>
  <c r="E720" i="4"/>
  <c r="F715" i="4"/>
  <c r="E712" i="4"/>
  <c r="E711" i="4"/>
  <c r="E710" i="4"/>
  <c r="E709" i="4"/>
  <c r="E708" i="4"/>
  <c r="E707" i="4"/>
  <c r="E706" i="4"/>
  <c r="E705" i="4"/>
  <c r="E704" i="4"/>
  <c r="F692" i="4"/>
  <c r="F686" i="4"/>
  <c r="F678" i="4"/>
  <c r="F687" i="4" s="1"/>
  <c r="F659" i="4"/>
  <c r="F625" i="4"/>
  <c r="F609" i="4"/>
  <c r="F589" i="4"/>
  <c r="F591" i="4" s="1"/>
  <c r="F575" i="4"/>
  <c r="F557" i="4"/>
  <c r="F555" i="4"/>
  <c r="F548" i="4"/>
  <c r="F541" i="4"/>
  <c r="F521" i="4"/>
  <c r="F523" i="4" s="1"/>
  <c r="F507" i="4"/>
  <c r="F486" i="4"/>
  <c r="F488" i="4" s="1"/>
  <c r="F478" i="4"/>
  <c r="F472" i="4"/>
  <c r="F452" i="4"/>
  <c r="F454" i="4" s="1"/>
  <c r="F446" i="4"/>
  <c r="F438" i="4"/>
  <c r="F418" i="4"/>
  <c r="F420" i="4" s="1"/>
  <c r="F411" i="4"/>
  <c r="F404" i="4"/>
  <c r="F384" i="4"/>
  <c r="F386" i="4" s="1"/>
  <c r="F377" i="4"/>
  <c r="F370" i="4"/>
  <c r="F350" i="4"/>
  <c r="F352" i="4" s="1"/>
  <c r="F336" i="4"/>
  <c r="F318" i="4"/>
  <c r="F316" i="4"/>
  <c r="F309" i="4"/>
  <c r="F302" i="4"/>
  <c r="F282" i="4"/>
  <c r="F284" i="4" s="1"/>
  <c r="F275" i="4"/>
  <c r="F268" i="4"/>
  <c r="F248" i="4"/>
  <c r="F250" i="4" s="1"/>
  <c r="F241" i="4"/>
  <c r="F234" i="4"/>
  <c r="F214" i="4"/>
  <c r="F216" i="4" s="1"/>
  <c r="F208" i="4"/>
  <c r="F200" i="4"/>
  <c r="F180" i="4"/>
  <c r="F182" i="4" s="1"/>
  <c r="F166" i="4"/>
  <c r="F146" i="4"/>
  <c r="F139" i="4"/>
  <c r="F112" i="4"/>
  <c r="F114" i="4" s="1"/>
  <c r="F98" i="4"/>
  <c r="F78" i="4"/>
  <c r="F80" i="4" s="1"/>
  <c r="F64" i="4"/>
  <c r="F44" i="4"/>
  <c r="F46" i="4" s="1"/>
  <c r="F38" i="4"/>
  <c r="F30" i="4"/>
  <c r="G98" i="4" l="1"/>
  <c r="F148" i="4"/>
  <c r="F694" i="4"/>
  <c r="F661" i="4"/>
  <c r="F584" i="4"/>
  <c r="F593" i="4" s="1"/>
  <c r="G582" i="4" s="1"/>
  <c r="F550" i="4"/>
  <c r="F447" i="4"/>
  <c r="F456" i="4" s="1"/>
  <c r="G443" i="4" s="1"/>
  <c r="F311" i="4"/>
  <c r="F320" i="4" s="1"/>
  <c r="G309" i="4" s="1"/>
  <c r="F175" i="4"/>
  <c r="F184" i="4" s="1"/>
  <c r="G166" i="4" s="1"/>
  <c r="F107" i="4"/>
  <c r="F116" i="4" s="1"/>
  <c r="F39" i="4"/>
  <c r="F48" i="4" s="1"/>
  <c r="F618" i="4"/>
  <c r="F516" i="4"/>
  <c r="F481" i="4"/>
  <c r="F413" i="4"/>
  <c r="F379" i="4"/>
  <c r="F345" i="4"/>
  <c r="F277" i="4"/>
  <c r="F243" i="4"/>
  <c r="F252" i="4" s="1"/>
  <c r="F209" i="4"/>
  <c r="F141" i="4"/>
  <c r="F73" i="4"/>
  <c r="F726" i="4"/>
  <c r="F728" i="4" s="1"/>
  <c r="F712" i="4"/>
  <c r="F719" i="4"/>
  <c r="G650" i="4" l="1"/>
  <c r="G643" i="4"/>
  <c r="G652" i="4"/>
  <c r="G657" i="4"/>
  <c r="G234" i="4"/>
  <c r="G241" i="4"/>
  <c r="G646" i="4"/>
  <c r="F696" i="4"/>
  <c r="G683" i="4" s="1"/>
  <c r="G659" i="4"/>
  <c r="G589" i="4"/>
  <c r="G591" i="4" s="1"/>
  <c r="G575" i="4"/>
  <c r="G584" i="4"/>
  <c r="F559" i="4"/>
  <c r="G550" i="4" s="1"/>
  <c r="F490" i="4"/>
  <c r="G481" i="4" s="1"/>
  <c r="G441" i="4"/>
  <c r="G452" i="4"/>
  <c r="G454" i="4" s="1"/>
  <c r="G438" i="4"/>
  <c r="G447" i="4"/>
  <c r="G311" i="4"/>
  <c r="G316" i="4"/>
  <c r="G318" i="4" s="1"/>
  <c r="G302" i="4"/>
  <c r="F286" i="4"/>
  <c r="G275" i="4" s="1"/>
  <c r="G248" i="4"/>
  <c r="G250" i="4" s="1"/>
  <c r="G243" i="4"/>
  <c r="G180" i="4"/>
  <c r="G182" i="4" s="1"/>
  <c r="G171" i="4"/>
  <c r="G169" i="4"/>
  <c r="G175" i="4"/>
  <c r="F150" i="4"/>
  <c r="G139" i="4" s="1"/>
  <c r="G112" i="4"/>
  <c r="G114" i="4" s="1"/>
  <c r="G105" i="4"/>
  <c r="G39" i="4"/>
  <c r="G44" i="4"/>
  <c r="G46" i="4" s="1"/>
  <c r="G35" i="4"/>
  <c r="G30" i="4"/>
  <c r="F627" i="4"/>
  <c r="G616" i="4" s="1"/>
  <c r="G578" i="4"/>
  <c r="F525" i="4"/>
  <c r="F422" i="4"/>
  <c r="G404" i="4" s="1"/>
  <c r="F388" i="4"/>
  <c r="G377" i="4" s="1"/>
  <c r="F354" i="4"/>
  <c r="G341" i="4" s="1"/>
  <c r="G305" i="4"/>
  <c r="G237" i="4"/>
  <c r="F218" i="4"/>
  <c r="G101" i="4"/>
  <c r="G107" i="4"/>
  <c r="F82" i="4"/>
  <c r="G33" i="4"/>
  <c r="F721" i="4"/>
  <c r="G277" i="4" l="1"/>
  <c r="G132" i="4"/>
  <c r="G146" i="4"/>
  <c r="G141" i="4"/>
  <c r="G623" i="4"/>
  <c r="G625" i="4" s="1"/>
  <c r="G609" i="4"/>
  <c r="G678" i="4"/>
  <c r="G681" i="4"/>
  <c r="G687" i="4"/>
  <c r="G692" i="4"/>
  <c r="G694" i="4" s="1"/>
  <c r="G696" i="4" s="1"/>
  <c r="G661" i="4"/>
  <c r="G618" i="4"/>
  <c r="G593" i="4"/>
  <c r="G548" i="4"/>
  <c r="G555" i="4"/>
  <c r="G557" i="4" s="1"/>
  <c r="G559" i="4" s="1"/>
  <c r="G544" i="4"/>
  <c r="G541" i="4"/>
  <c r="G512" i="4"/>
  <c r="G521" i="4"/>
  <c r="G523" i="4" s="1"/>
  <c r="G507" i="4"/>
  <c r="G516" i="4"/>
  <c r="G475" i="4"/>
  <c r="G486" i="4"/>
  <c r="G488" i="4" s="1"/>
  <c r="G490" i="4" s="1"/>
  <c r="G478" i="4"/>
  <c r="G472" i="4"/>
  <c r="G456" i="4"/>
  <c r="G407" i="4"/>
  <c r="G411" i="4"/>
  <c r="G418" i="4"/>
  <c r="G420" i="4" s="1"/>
  <c r="G413" i="4"/>
  <c r="G384" i="4"/>
  <c r="G370" i="4"/>
  <c r="G379" i="4"/>
  <c r="G339" i="4"/>
  <c r="G350" i="4"/>
  <c r="G352" i="4" s="1"/>
  <c r="G336" i="4"/>
  <c r="G345" i="4"/>
  <c r="G320" i="4"/>
  <c r="G271" i="4"/>
  <c r="G282" i="4"/>
  <c r="G284" i="4" s="1"/>
  <c r="G268" i="4"/>
  <c r="G252" i="4"/>
  <c r="G205" i="4"/>
  <c r="G214" i="4"/>
  <c r="G216" i="4" s="1"/>
  <c r="G200" i="4"/>
  <c r="G209" i="4"/>
  <c r="G184" i="4"/>
  <c r="G148" i="4"/>
  <c r="G135" i="4"/>
  <c r="G116" i="4"/>
  <c r="G73" i="4"/>
  <c r="G78" i="4"/>
  <c r="G80" i="4" s="1"/>
  <c r="G69" i="4"/>
  <c r="G64" i="4"/>
  <c r="G48" i="4"/>
  <c r="F730" i="4"/>
  <c r="G612" i="4"/>
  <c r="G510" i="4"/>
  <c r="G386" i="4"/>
  <c r="G373" i="4"/>
  <c r="G203" i="4"/>
  <c r="G67" i="4"/>
  <c r="G715" i="4" l="1"/>
  <c r="G712" i="4"/>
  <c r="G627" i="4"/>
  <c r="G286" i="4"/>
  <c r="G150" i="4"/>
  <c r="G82" i="4"/>
  <c r="G525" i="4"/>
  <c r="G422" i="4"/>
  <c r="G354" i="4"/>
  <c r="G218" i="4"/>
  <c r="G726" i="4"/>
  <c r="G728" i="4" s="1"/>
  <c r="G719" i="4"/>
  <c r="F736" i="4"/>
  <c r="G721" i="4"/>
  <c r="G388" i="4"/>
  <c r="G730" i="4" l="1"/>
</calcChain>
</file>

<file path=xl/sharedStrings.xml><?xml version="1.0" encoding="utf-8"?>
<sst xmlns="http://schemas.openxmlformats.org/spreadsheetml/2006/main" count="599" uniqueCount="48">
  <si>
    <t>TEPIC</t>
  </si>
  <si>
    <t>CONCEPTO</t>
  </si>
  <si>
    <t>IMPORTE</t>
  </si>
  <si>
    <t>%</t>
  </si>
  <si>
    <t>Fondo General de Participaciones</t>
  </si>
  <si>
    <t>Fondo de Fomento Municipal</t>
  </si>
  <si>
    <t>Nuevas Potestades (Gasolina y Diesel)</t>
  </si>
  <si>
    <t>Fondo de Fiscalización</t>
  </si>
  <si>
    <t>Impuesto Predial</t>
  </si>
  <si>
    <t>Impuesto Sobre Adquisición de Bienes Inmuebles</t>
  </si>
  <si>
    <t>APORTACIONES PARA ENTIDADES Y MUNICIPIOS (RAMO 33)</t>
  </si>
  <si>
    <t>Fondo de Aportaciones para la Infraestructura Social Municipal</t>
  </si>
  <si>
    <t>Fondo de Aportaciones para el Fortalecimiento de los Municipios</t>
  </si>
  <si>
    <t>TOTAL</t>
  </si>
  <si>
    <t>ACAPONETA</t>
  </si>
  <si>
    <t>AMATLÁN DE CAÑAS</t>
  </si>
  <si>
    <t>AHUACATLÁN</t>
  </si>
  <si>
    <t>COMPOSTELA</t>
  </si>
  <si>
    <t>JALA</t>
  </si>
  <si>
    <t>ROSAMORADA</t>
  </si>
  <si>
    <t>RUIZ</t>
  </si>
  <si>
    <t>SAN BLAS</t>
  </si>
  <si>
    <t>SANTIAGO IXCUINTLA</t>
  </si>
  <si>
    <t>TECUALA</t>
  </si>
  <si>
    <t>TUXPAN</t>
  </si>
  <si>
    <t>XALISCO</t>
  </si>
  <si>
    <t>SAN PEDRO LAGUNILLAS</t>
  </si>
  <si>
    <t>LA YESCA</t>
  </si>
  <si>
    <t>EL NAYAR</t>
  </si>
  <si>
    <t>HUAJICORI</t>
  </si>
  <si>
    <t>BAHÍA DE BANDERAS</t>
  </si>
  <si>
    <t>Fondo de Compensación</t>
  </si>
  <si>
    <t>Impuesto Sobre Automóviles Nuevos</t>
  </si>
  <si>
    <t>Impuesto Especial Sobre Producción y Servicios</t>
  </si>
  <si>
    <t>CONVENIOS DE COLABORACIÓN ADMINISTRATIVA</t>
  </si>
  <si>
    <t>PARCIAL</t>
  </si>
  <si>
    <t>Fondo Impuesto Sobre la Renta</t>
  </si>
  <si>
    <t>SUBTOTAL</t>
  </si>
  <si>
    <t>Zona Federal Marítima - Terrestre  (ZOFEMAT)</t>
  </si>
  <si>
    <t>IXTLAN DEL RÍO</t>
  </si>
  <si>
    <t>SANTA MARIA DEL ORO</t>
  </si>
  <si>
    <t>Fondo de Estabilización de los Ingresos de las Entidades Federativas</t>
  </si>
  <si>
    <t>Incentivos por ISR</t>
  </si>
  <si>
    <t>TOTALES</t>
  </si>
  <si>
    <t>Tenencia Estatal *</t>
  </si>
  <si>
    <t>* Tenencia Estatal (Incluye Tenencia Federal según convenio a 2010)</t>
  </si>
  <si>
    <t xml:space="preserve">PARTICIPACIONES FEDERALES </t>
  </si>
  <si>
    <t xml:space="preserve">PARTICIPACIONES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</si>
</sst>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_-;\(* #,##0.00\);_-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9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1" fillId="3" borderId="0" xfId="0" applyFont="1" applyFill="1"/>
    <xf numFmtId="0" fontId="2" fillId="3" borderId="0" xfId="0" applyFont="1" applyFill="1"/>
    <xf numFmtId="164" fontId="2" fillId="3" borderId="0" xfId="1" applyNumberFormat="1" applyFont="1" applyFill="1"/>
    <xf numFmtId="10" fontId="2" fillId="3" borderId="0" xfId="6" applyNumberFormat="1" applyFont="1" applyFill="1"/>
    <xf numFmtId="10" fontId="2" fillId="3" borderId="1" xfId="6" applyNumberFormat="1" applyFont="1" applyFill="1" applyBorder="1"/>
    <xf numFmtId="43" fontId="2" fillId="3" borderId="1" xfId="1" applyFont="1" applyFill="1" applyBorder="1"/>
    <xf numFmtId="43" fontId="2" fillId="3" borderId="2" xfId="1" applyFont="1" applyFill="1" applyBorder="1"/>
    <xf numFmtId="0" fontId="1" fillId="3" borderId="0" xfId="0" applyFont="1" applyFill="1" applyBorder="1"/>
    <xf numFmtId="0" fontId="2" fillId="3" borderId="0" xfId="0" applyFont="1" applyFill="1" applyBorder="1"/>
    <xf numFmtId="164" fontId="2" fillId="3" borderId="0" xfId="1" applyNumberFormat="1" applyFont="1" applyFill="1" applyBorder="1"/>
    <xf numFmtId="10" fontId="2" fillId="3" borderId="0" xfId="6" applyNumberFormat="1" applyFont="1" applyFill="1" applyBorder="1"/>
    <xf numFmtId="44" fontId="2" fillId="3" borderId="1" xfId="3" applyFont="1" applyFill="1" applyBorder="1"/>
    <xf numFmtId="164" fontId="5" fillId="2" borderId="3" xfId="1" applyNumberFormat="1" applyFont="1" applyFill="1" applyBorder="1" applyAlignment="1">
      <alignment horizontal="center" vertical="center"/>
    </xf>
    <xf numFmtId="164" fontId="4" fillId="2" borderId="4" xfId="2" applyNumberFormat="1" applyFont="1" applyFill="1" applyBorder="1" applyAlignment="1">
      <alignment horizontal="center"/>
    </xf>
    <xf numFmtId="10" fontId="4" fillId="2" borderId="4" xfId="7" quotePrefix="1" applyNumberFormat="1" applyFont="1" applyFill="1" applyBorder="1" applyAlignment="1">
      <alignment horizontal="center"/>
    </xf>
    <xf numFmtId="0" fontId="1" fillId="3" borderId="5" xfId="5" applyFont="1" applyFill="1" applyBorder="1"/>
    <xf numFmtId="0" fontId="2" fillId="3" borderId="6" xfId="5" applyFont="1" applyFill="1" applyBorder="1"/>
    <xf numFmtId="43" fontId="2" fillId="3" borderId="6" xfId="2" applyFont="1" applyFill="1" applyBorder="1"/>
    <xf numFmtId="43" fontId="2" fillId="3" borderId="7" xfId="2" applyFont="1" applyFill="1" applyBorder="1"/>
    <xf numFmtId="44" fontId="2" fillId="3" borderId="1" xfId="4" applyFont="1" applyFill="1" applyBorder="1"/>
    <xf numFmtId="10" fontId="2" fillId="3" borderId="6" xfId="7" applyNumberFormat="1" applyFont="1" applyFill="1" applyBorder="1"/>
    <xf numFmtId="43" fontId="2" fillId="3" borderId="1" xfId="2" applyFont="1" applyFill="1" applyBorder="1"/>
    <xf numFmtId="164" fontId="2" fillId="3" borderId="1" xfId="2" applyNumberFormat="1" applyFont="1" applyFill="1" applyBorder="1"/>
    <xf numFmtId="0" fontId="2" fillId="3" borderId="1" xfId="5" applyFont="1" applyFill="1" applyBorder="1"/>
    <xf numFmtId="43" fontId="2" fillId="3" borderId="2" xfId="2" applyFont="1" applyFill="1" applyBorder="1"/>
    <xf numFmtId="10" fontId="2" fillId="3" borderId="2" xfId="7" applyNumberFormat="1" applyFont="1" applyFill="1" applyBorder="1"/>
    <xf numFmtId="0" fontId="4" fillId="3" borderId="6" xfId="5" applyFont="1" applyFill="1" applyBorder="1" applyAlignment="1">
      <alignment horizontal="center"/>
    </xf>
    <xf numFmtId="44" fontId="4" fillId="3" borderId="2" xfId="3" applyFont="1" applyFill="1" applyBorder="1"/>
    <xf numFmtId="10" fontId="4" fillId="3" borderId="8" xfId="7" applyNumberFormat="1" applyFont="1" applyFill="1" applyBorder="1"/>
    <xf numFmtId="44" fontId="4" fillId="3" borderId="1" xfId="3" applyFont="1" applyFill="1" applyBorder="1"/>
    <xf numFmtId="10" fontId="4" fillId="3" borderId="6" xfId="7" applyNumberFormat="1" applyFont="1" applyFill="1" applyBorder="1"/>
    <xf numFmtId="0" fontId="2" fillId="3" borderId="0" xfId="5" applyFont="1" applyFill="1" applyBorder="1"/>
    <xf numFmtId="0" fontId="2" fillId="3" borderId="0" xfId="5" applyFont="1" applyFill="1" applyAlignment="1">
      <alignment horizontal="left"/>
    </xf>
    <xf numFmtId="165" fontId="2" fillId="3" borderId="1" xfId="2" applyNumberFormat="1" applyFont="1" applyFill="1" applyBorder="1"/>
    <xf numFmtId="10" fontId="2" fillId="3" borderId="1" xfId="7" applyNumberFormat="1" applyFont="1" applyFill="1" applyBorder="1"/>
    <xf numFmtId="10" fontId="2" fillId="3" borderId="8" xfId="7" applyNumberFormat="1" applyFont="1" applyFill="1" applyBorder="1"/>
    <xf numFmtId="0" fontId="4" fillId="3" borderId="0" xfId="5" applyFont="1" applyFill="1" applyBorder="1" applyAlignment="1">
      <alignment horizontal="center"/>
    </xf>
    <xf numFmtId="44" fontId="4" fillId="3" borderId="9" xfId="4" applyFont="1" applyFill="1" applyBorder="1"/>
    <xf numFmtId="10" fontId="4" fillId="3" borderId="9" xfId="7" applyNumberFormat="1" applyFont="1" applyFill="1" applyBorder="1"/>
    <xf numFmtId="0" fontId="1" fillId="3" borderId="10" xfId="5" applyFont="1" applyFill="1" applyBorder="1"/>
    <xf numFmtId="0" fontId="2" fillId="3" borderId="8" xfId="5" applyFont="1" applyFill="1" applyBorder="1"/>
    <xf numFmtId="164" fontId="2" fillId="3" borderId="8" xfId="2" applyNumberFormat="1" applyFont="1" applyFill="1" applyBorder="1"/>
    <xf numFmtId="43" fontId="2" fillId="3" borderId="0" xfId="1" applyNumberFormat="1" applyFont="1" applyFill="1"/>
    <xf numFmtId="164" fontId="2" fillId="3" borderId="0" xfId="2" applyNumberFormat="1" applyFont="1" applyFill="1" applyBorder="1"/>
    <xf numFmtId="43" fontId="2" fillId="3" borderId="0" xfId="1" applyFont="1" applyFill="1"/>
    <xf numFmtId="43" fontId="2" fillId="3" borderId="0" xfId="1" applyFont="1" applyFill="1" applyBorder="1"/>
    <xf numFmtId="43" fontId="2" fillId="3" borderId="0" xfId="0" applyNumberFormat="1" applyFont="1" applyFill="1" applyBorder="1"/>
    <xf numFmtId="10" fontId="2" fillId="3" borderId="7" xfId="7" applyNumberFormat="1" applyFont="1" applyFill="1" applyBorder="1"/>
    <xf numFmtId="10" fontId="2" fillId="3" borderId="1" xfId="5" applyNumberFormat="1" applyFont="1" applyFill="1" applyBorder="1"/>
    <xf numFmtId="44" fontId="2" fillId="3" borderId="0" xfId="0" applyNumberFormat="1" applyFont="1" applyFill="1"/>
    <xf numFmtId="10" fontId="2" fillId="3" borderId="1" xfId="0" applyNumberFormat="1" applyFont="1" applyFill="1" applyBorder="1"/>
    <xf numFmtId="0" fontId="1" fillId="3" borderId="0" xfId="5" applyFont="1" applyFill="1" applyBorder="1"/>
    <xf numFmtId="10" fontId="2" fillId="3" borderId="0" xfId="7" applyNumberFormat="1" applyFont="1" applyFill="1" applyBorder="1"/>
    <xf numFmtId="10" fontId="2" fillId="3" borderId="10" xfId="6" applyNumberFormat="1" applyFont="1" applyFill="1" applyBorder="1"/>
    <xf numFmtId="43" fontId="2" fillId="3" borderId="10" xfId="1" applyFont="1" applyFill="1" applyBorder="1"/>
    <xf numFmtId="164" fontId="2" fillId="3" borderId="1" xfId="1" applyNumberFormat="1" applyFont="1" applyFill="1" applyBorder="1"/>
    <xf numFmtId="44" fontId="2" fillId="3" borderId="0" xfId="3" applyFont="1" applyFill="1"/>
    <xf numFmtId="164" fontId="2" fillId="3" borderId="10" xfId="1" applyNumberFormat="1" applyFont="1" applyFill="1" applyBorder="1"/>
    <xf numFmtId="10" fontId="2" fillId="3" borderId="2" xfId="6" applyNumberFormat="1" applyFont="1" applyFill="1" applyBorder="1"/>
    <xf numFmtId="164" fontId="2" fillId="3" borderId="2" xfId="1" applyNumberFormat="1" applyFont="1" applyFill="1" applyBorder="1"/>
    <xf numFmtId="0" fontId="3" fillId="3" borderId="0" xfId="0" applyFont="1" applyFill="1" applyAlignment="1">
      <alignment horizontal="center"/>
    </xf>
    <xf numFmtId="0" fontId="4" fillId="2" borderId="11" xfId="5" applyFont="1" applyFill="1" applyBorder="1" applyAlignment="1">
      <alignment horizontal="center"/>
    </xf>
    <xf numFmtId="0" fontId="4" fillId="2" borderId="4" xfId="5" applyFont="1" applyFill="1" applyBorder="1" applyAlignment="1">
      <alignment horizontal="center"/>
    </xf>
  </cellXfs>
  <cellStyles count="8">
    <cellStyle name="Millares" xfId="1" builtinId="3"/>
    <cellStyle name="Millares 2" xfId="2" xr:uid="{00000000-0005-0000-0000-000001000000}"/>
    <cellStyle name="Moneda" xfId="3" builtinId="4"/>
    <cellStyle name="Moneda 2" xfId="4" xr:uid="{00000000-0005-0000-0000-000003000000}"/>
    <cellStyle name="Normal" xfId="0" builtinId="0"/>
    <cellStyle name="Normal 2" xfId="5" xr:uid="{00000000-0005-0000-0000-000005000000}"/>
    <cellStyle name="Porcentaje" xfId="6" builtinId="5"/>
    <cellStyle name="Porcentaje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18</xdr:row>
      <xdr:rowOff>0</xdr:rowOff>
    </xdr:from>
    <xdr:to>
      <xdr:col>8</xdr:col>
      <xdr:colOff>342900</xdr:colOff>
      <xdr:row>21</xdr:row>
      <xdr:rowOff>60960</xdr:rowOff>
    </xdr:to>
    <xdr:sp macro="" textlink="">
      <xdr:nvSpPr>
        <xdr:cNvPr id="5948" name="Rectangle 6">
          <a:extLst>
            <a:ext uri="{FF2B5EF4-FFF2-40B4-BE49-F238E27FC236}">
              <a16:creationId xmlns:a16="http://schemas.microsoft.com/office/drawing/2014/main" id="{00000000-0008-0000-0000-00003C170000}"/>
            </a:ext>
          </a:extLst>
        </xdr:cNvPr>
        <xdr:cNvSpPr>
          <a:spLocks noChangeArrowheads="1"/>
        </xdr:cNvSpPr>
      </xdr:nvSpPr>
      <xdr:spPr bwMode="auto">
        <a:xfrm>
          <a:off x="7871460" y="3040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1409700</xdr:colOff>
      <xdr:row>13</xdr:row>
      <xdr:rowOff>83820</xdr:rowOff>
    </xdr:to>
    <xdr:pic>
      <xdr:nvPicPr>
        <xdr:cNvPr id="5949" name="11 Imagen">
          <a:extLst>
            <a:ext uri="{FF2B5EF4-FFF2-40B4-BE49-F238E27FC236}">
              <a16:creationId xmlns:a16="http://schemas.microsoft.com/office/drawing/2014/main" id="{00000000-0008-0000-0000-00003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7420" cy="226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</xdr:colOff>
      <xdr:row>13</xdr:row>
      <xdr:rowOff>97155</xdr:rowOff>
    </xdr:from>
    <xdr:ext cx="2199032" cy="500256"/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31621" y="2276475"/>
          <a:ext cx="2209357" cy="500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1">
            <a:defRPr sz="1000"/>
          </a:pPr>
          <a:r>
            <a:rPr lang="es-ES" sz="1750" b="1" i="0" strike="noStrike" baseline="0">
              <a:solidFill>
                <a:srgbClr val="1B795A"/>
              </a:solidFill>
              <a:latin typeface="Arial"/>
              <a:ea typeface="+mn-ea"/>
              <a:cs typeface="Arial"/>
            </a:rPr>
            <a:t>P</a:t>
          </a:r>
          <a:r>
            <a:rPr lang="es-ES" sz="1750" b="1" i="0" strike="noStrike" baseline="0">
              <a:solidFill>
                <a:srgbClr val="1B795A"/>
              </a:solidFill>
              <a:latin typeface="Arial"/>
              <a:cs typeface="Arial"/>
            </a:rPr>
            <a:t>ODER EJECUTIVO NAYARIT</a:t>
          </a:r>
          <a:endParaRPr lang="es-ES" sz="175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ES" sz="96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8</xdr:col>
      <xdr:colOff>0</xdr:colOff>
      <xdr:row>52</xdr:row>
      <xdr:rowOff>0</xdr:rowOff>
    </xdr:from>
    <xdr:to>
      <xdr:col>8</xdr:col>
      <xdr:colOff>342900</xdr:colOff>
      <xdr:row>55</xdr:row>
      <xdr:rowOff>60960</xdr:rowOff>
    </xdr:to>
    <xdr:sp macro="" textlink="">
      <xdr:nvSpPr>
        <xdr:cNvPr id="5951" name="Rectangle 6">
          <a:extLst>
            <a:ext uri="{FF2B5EF4-FFF2-40B4-BE49-F238E27FC236}">
              <a16:creationId xmlns:a16="http://schemas.microsoft.com/office/drawing/2014/main" id="{00000000-0008-0000-0000-00003F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342900</xdr:colOff>
      <xdr:row>55</xdr:row>
      <xdr:rowOff>60960</xdr:rowOff>
    </xdr:to>
    <xdr:sp macro="" textlink="">
      <xdr:nvSpPr>
        <xdr:cNvPr id="5952" name="Rectangle 6">
          <a:extLst>
            <a:ext uri="{FF2B5EF4-FFF2-40B4-BE49-F238E27FC236}">
              <a16:creationId xmlns:a16="http://schemas.microsoft.com/office/drawing/2014/main" id="{00000000-0008-0000-0000-000040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342900</xdr:colOff>
      <xdr:row>55</xdr:row>
      <xdr:rowOff>60960</xdr:rowOff>
    </xdr:to>
    <xdr:sp macro="" textlink="">
      <xdr:nvSpPr>
        <xdr:cNvPr id="5953" name="Rectangle 6">
          <a:extLst>
            <a:ext uri="{FF2B5EF4-FFF2-40B4-BE49-F238E27FC236}">
              <a16:creationId xmlns:a16="http://schemas.microsoft.com/office/drawing/2014/main" id="{00000000-0008-0000-0000-000041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342900</xdr:colOff>
      <xdr:row>55</xdr:row>
      <xdr:rowOff>60960</xdr:rowOff>
    </xdr:to>
    <xdr:sp macro="" textlink="">
      <xdr:nvSpPr>
        <xdr:cNvPr id="5954" name="Rectangle 6">
          <a:extLst>
            <a:ext uri="{FF2B5EF4-FFF2-40B4-BE49-F238E27FC236}">
              <a16:creationId xmlns:a16="http://schemas.microsoft.com/office/drawing/2014/main" id="{00000000-0008-0000-0000-000042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86</xdr:row>
      <xdr:rowOff>0</xdr:rowOff>
    </xdr:from>
    <xdr:to>
      <xdr:col>8</xdr:col>
      <xdr:colOff>342900</xdr:colOff>
      <xdr:row>89</xdr:row>
      <xdr:rowOff>60960</xdr:rowOff>
    </xdr:to>
    <xdr:sp macro="" textlink="">
      <xdr:nvSpPr>
        <xdr:cNvPr id="5955" name="Rectangle 6">
          <a:extLst>
            <a:ext uri="{FF2B5EF4-FFF2-40B4-BE49-F238E27FC236}">
              <a16:creationId xmlns:a16="http://schemas.microsoft.com/office/drawing/2014/main" id="{00000000-0008-0000-0000-000043170000}"/>
            </a:ext>
          </a:extLst>
        </xdr:cNvPr>
        <xdr:cNvSpPr>
          <a:spLocks noChangeArrowheads="1"/>
        </xdr:cNvSpPr>
      </xdr:nvSpPr>
      <xdr:spPr bwMode="auto">
        <a:xfrm>
          <a:off x="7871460" y="103098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342900</xdr:colOff>
      <xdr:row>123</xdr:row>
      <xdr:rowOff>60960</xdr:rowOff>
    </xdr:to>
    <xdr:sp macro="" textlink="">
      <xdr:nvSpPr>
        <xdr:cNvPr id="5956" name="Rectangle 6">
          <a:extLst>
            <a:ext uri="{FF2B5EF4-FFF2-40B4-BE49-F238E27FC236}">
              <a16:creationId xmlns:a16="http://schemas.microsoft.com/office/drawing/2014/main" id="{00000000-0008-0000-0000-000044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342900</xdr:colOff>
      <xdr:row>123</xdr:row>
      <xdr:rowOff>60960</xdr:rowOff>
    </xdr:to>
    <xdr:sp macro="" textlink="">
      <xdr:nvSpPr>
        <xdr:cNvPr id="5957" name="Rectangle 6">
          <a:extLst>
            <a:ext uri="{FF2B5EF4-FFF2-40B4-BE49-F238E27FC236}">
              <a16:creationId xmlns:a16="http://schemas.microsoft.com/office/drawing/2014/main" id="{00000000-0008-0000-0000-000045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342900</xdr:colOff>
      <xdr:row>123</xdr:row>
      <xdr:rowOff>60960</xdr:rowOff>
    </xdr:to>
    <xdr:sp macro="" textlink="">
      <xdr:nvSpPr>
        <xdr:cNvPr id="5958" name="Rectangle 6">
          <a:extLst>
            <a:ext uri="{FF2B5EF4-FFF2-40B4-BE49-F238E27FC236}">
              <a16:creationId xmlns:a16="http://schemas.microsoft.com/office/drawing/2014/main" id="{00000000-0008-0000-0000-000046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342900</xdr:colOff>
      <xdr:row>123</xdr:row>
      <xdr:rowOff>60960</xdr:rowOff>
    </xdr:to>
    <xdr:sp macro="" textlink="">
      <xdr:nvSpPr>
        <xdr:cNvPr id="5959" name="Rectangle 6">
          <a:extLst>
            <a:ext uri="{FF2B5EF4-FFF2-40B4-BE49-F238E27FC236}">
              <a16:creationId xmlns:a16="http://schemas.microsoft.com/office/drawing/2014/main" id="{00000000-0008-0000-0000-000047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342900</xdr:colOff>
      <xdr:row>157</xdr:row>
      <xdr:rowOff>60960</xdr:rowOff>
    </xdr:to>
    <xdr:sp macro="" textlink="">
      <xdr:nvSpPr>
        <xdr:cNvPr id="5960" name="Rectangle 6">
          <a:extLst>
            <a:ext uri="{FF2B5EF4-FFF2-40B4-BE49-F238E27FC236}">
              <a16:creationId xmlns:a16="http://schemas.microsoft.com/office/drawing/2014/main" id="{00000000-0008-0000-0000-000048170000}"/>
            </a:ext>
          </a:extLst>
        </xdr:cNvPr>
        <xdr:cNvSpPr>
          <a:spLocks noChangeArrowheads="1"/>
        </xdr:cNvSpPr>
      </xdr:nvSpPr>
      <xdr:spPr bwMode="auto">
        <a:xfrm>
          <a:off x="7871460" y="17731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188</xdr:row>
      <xdr:rowOff>0</xdr:rowOff>
    </xdr:from>
    <xdr:to>
      <xdr:col>8</xdr:col>
      <xdr:colOff>342900</xdr:colOff>
      <xdr:row>191</xdr:row>
      <xdr:rowOff>60960</xdr:rowOff>
    </xdr:to>
    <xdr:sp macro="" textlink="">
      <xdr:nvSpPr>
        <xdr:cNvPr id="5961" name="Rectangle 6">
          <a:extLst>
            <a:ext uri="{FF2B5EF4-FFF2-40B4-BE49-F238E27FC236}">
              <a16:creationId xmlns:a16="http://schemas.microsoft.com/office/drawing/2014/main" id="{00000000-0008-0000-0000-000049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188</xdr:row>
      <xdr:rowOff>0</xdr:rowOff>
    </xdr:from>
    <xdr:to>
      <xdr:col>8</xdr:col>
      <xdr:colOff>342900</xdr:colOff>
      <xdr:row>191</xdr:row>
      <xdr:rowOff>60960</xdr:rowOff>
    </xdr:to>
    <xdr:sp macro="" textlink="">
      <xdr:nvSpPr>
        <xdr:cNvPr id="5962" name="Rectangle 6">
          <a:extLst>
            <a:ext uri="{FF2B5EF4-FFF2-40B4-BE49-F238E27FC236}">
              <a16:creationId xmlns:a16="http://schemas.microsoft.com/office/drawing/2014/main" id="{00000000-0008-0000-0000-00004A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188</xdr:row>
      <xdr:rowOff>0</xdr:rowOff>
    </xdr:from>
    <xdr:to>
      <xdr:col>8</xdr:col>
      <xdr:colOff>342900</xdr:colOff>
      <xdr:row>191</xdr:row>
      <xdr:rowOff>60960</xdr:rowOff>
    </xdr:to>
    <xdr:sp macro="" textlink="">
      <xdr:nvSpPr>
        <xdr:cNvPr id="5963" name="Rectangle 6">
          <a:extLst>
            <a:ext uri="{FF2B5EF4-FFF2-40B4-BE49-F238E27FC236}">
              <a16:creationId xmlns:a16="http://schemas.microsoft.com/office/drawing/2014/main" id="{00000000-0008-0000-0000-00004B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188</xdr:row>
      <xdr:rowOff>0</xdr:rowOff>
    </xdr:from>
    <xdr:to>
      <xdr:col>8</xdr:col>
      <xdr:colOff>342900</xdr:colOff>
      <xdr:row>191</xdr:row>
      <xdr:rowOff>60960</xdr:rowOff>
    </xdr:to>
    <xdr:sp macro="" textlink="">
      <xdr:nvSpPr>
        <xdr:cNvPr id="5964" name="Rectangle 6">
          <a:extLst>
            <a:ext uri="{FF2B5EF4-FFF2-40B4-BE49-F238E27FC236}">
              <a16:creationId xmlns:a16="http://schemas.microsoft.com/office/drawing/2014/main" id="{00000000-0008-0000-0000-00004C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222</xdr:row>
      <xdr:rowOff>0</xdr:rowOff>
    </xdr:from>
    <xdr:to>
      <xdr:col>8</xdr:col>
      <xdr:colOff>342900</xdr:colOff>
      <xdr:row>225</xdr:row>
      <xdr:rowOff>60960</xdr:rowOff>
    </xdr:to>
    <xdr:sp macro="" textlink="">
      <xdr:nvSpPr>
        <xdr:cNvPr id="5965" name="Rectangle 6">
          <a:extLst>
            <a:ext uri="{FF2B5EF4-FFF2-40B4-BE49-F238E27FC236}">
              <a16:creationId xmlns:a16="http://schemas.microsoft.com/office/drawing/2014/main" id="{00000000-0008-0000-0000-00004D170000}"/>
            </a:ext>
          </a:extLst>
        </xdr:cNvPr>
        <xdr:cNvSpPr>
          <a:spLocks noChangeArrowheads="1"/>
        </xdr:cNvSpPr>
      </xdr:nvSpPr>
      <xdr:spPr bwMode="auto">
        <a:xfrm>
          <a:off x="7871460" y="25321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256</xdr:row>
      <xdr:rowOff>0</xdr:rowOff>
    </xdr:from>
    <xdr:to>
      <xdr:col>8</xdr:col>
      <xdr:colOff>342900</xdr:colOff>
      <xdr:row>259</xdr:row>
      <xdr:rowOff>60960</xdr:rowOff>
    </xdr:to>
    <xdr:sp macro="" textlink="">
      <xdr:nvSpPr>
        <xdr:cNvPr id="5966" name="Rectangle 6">
          <a:extLst>
            <a:ext uri="{FF2B5EF4-FFF2-40B4-BE49-F238E27FC236}">
              <a16:creationId xmlns:a16="http://schemas.microsoft.com/office/drawing/2014/main" id="{00000000-0008-0000-0000-00004E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256</xdr:row>
      <xdr:rowOff>0</xdr:rowOff>
    </xdr:from>
    <xdr:to>
      <xdr:col>8</xdr:col>
      <xdr:colOff>342900</xdr:colOff>
      <xdr:row>259</xdr:row>
      <xdr:rowOff>60960</xdr:rowOff>
    </xdr:to>
    <xdr:sp macro="" textlink="">
      <xdr:nvSpPr>
        <xdr:cNvPr id="5967" name="Rectangle 6">
          <a:extLst>
            <a:ext uri="{FF2B5EF4-FFF2-40B4-BE49-F238E27FC236}">
              <a16:creationId xmlns:a16="http://schemas.microsoft.com/office/drawing/2014/main" id="{00000000-0008-0000-0000-00004F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256</xdr:row>
      <xdr:rowOff>0</xdr:rowOff>
    </xdr:from>
    <xdr:to>
      <xdr:col>8</xdr:col>
      <xdr:colOff>342900</xdr:colOff>
      <xdr:row>259</xdr:row>
      <xdr:rowOff>60960</xdr:rowOff>
    </xdr:to>
    <xdr:sp macro="" textlink="">
      <xdr:nvSpPr>
        <xdr:cNvPr id="5968" name="Rectangle 6">
          <a:extLst>
            <a:ext uri="{FF2B5EF4-FFF2-40B4-BE49-F238E27FC236}">
              <a16:creationId xmlns:a16="http://schemas.microsoft.com/office/drawing/2014/main" id="{00000000-0008-0000-0000-000050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256</xdr:row>
      <xdr:rowOff>0</xdr:rowOff>
    </xdr:from>
    <xdr:to>
      <xdr:col>8</xdr:col>
      <xdr:colOff>342900</xdr:colOff>
      <xdr:row>259</xdr:row>
      <xdr:rowOff>60960</xdr:rowOff>
    </xdr:to>
    <xdr:sp macro="" textlink="">
      <xdr:nvSpPr>
        <xdr:cNvPr id="5969" name="Rectangle 6">
          <a:extLst>
            <a:ext uri="{FF2B5EF4-FFF2-40B4-BE49-F238E27FC236}">
              <a16:creationId xmlns:a16="http://schemas.microsoft.com/office/drawing/2014/main" id="{00000000-0008-0000-0000-000051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290</xdr:row>
      <xdr:rowOff>0</xdr:rowOff>
    </xdr:from>
    <xdr:to>
      <xdr:col>8</xdr:col>
      <xdr:colOff>342900</xdr:colOff>
      <xdr:row>293</xdr:row>
      <xdr:rowOff>60960</xdr:rowOff>
    </xdr:to>
    <xdr:sp macro="" textlink="">
      <xdr:nvSpPr>
        <xdr:cNvPr id="5970" name="Rectangle 6">
          <a:extLst>
            <a:ext uri="{FF2B5EF4-FFF2-40B4-BE49-F238E27FC236}">
              <a16:creationId xmlns:a16="http://schemas.microsoft.com/office/drawing/2014/main" id="{00000000-0008-0000-0000-000052170000}"/>
            </a:ext>
          </a:extLst>
        </xdr:cNvPr>
        <xdr:cNvSpPr>
          <a:spLocks noChangeArrowheads="1"/>
        </xdr:cNvSpPr>
      </xdr:nvSpPr>
      <xdr:spPr bwMode="auto">
        <a:xfrm>
          <a:off x="7871460" y="32758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324</xdr:row>
      <xdr:rowOff>0</xdr:rowOff>
    </xdr:from>
    <xdr:to>
      <xdr:col>8</xdr:col>
      <xdr:colOff>342900</xdr:colOff>
      <xdr:row>327</xdr:row>
      <xdr:rowOff>60960</xdr:rowOff>
    </xdr:to>
    <xdr:sp macro="" textlink="">
      <xdr:nvSpPr>
        <xdr:cNvPr id="5971" name="Rectangle 6">
          <a:extLst>
            <a:ext uri="{FF2B5EF4-FFF2-40B4-BE49-F238E27FC236}">
              <a16:creationId xmlns:a16="http://schemas.microsoft.com/office/drawing/2014/main" id="{00000000-0008-0000-0000-000053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324</xdr:row>
      <xdr:rowOff>0</xdr:rowOff>
    </xdr:from>
    <xdr:to>
      <xdr:col>8</xdr:col>
      <xdr:colOff>342900</xdr:colOff>
      <xdr:row>327</xdr:row>
      <xdr:rowOff>60960</xdr:rowOff>
    </xdr:to>
    <xdr:sp macro="" textlink="">
      <xdr:nvSpPr>
        <xdr:cNvPr id="5972" name="Rectangle 6">
          <a:extLst>
            <a:ext uri="{FF2B5EF4-FFF2-40B4-BE49-F238E27FC236}">
              <a16:creationId xmlns:a16="http://schemas.microsoft.com/office/drawing/2014/main" id="{00000000-0008-0000-0000-000054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324</xdr:row>
      <xdr:rowOff>0</xdr:rowOff>
    </xdr:from>
    <xdr:to>
      <xdr:col>8</xdr:col>
      <xdr:colOff>342900</xdr:colOff>
      <xdr:row>327</xdr:row>
      <xdr:rowOff>60960</xdr:rowOff>
    </xdr:to>
    <xdr:sp macro="" textlink="">
      <xdr:nvSpPr>
        <xdr:cNvPr id="5973" name="Rectangle 6">
          <a:extLst>
            <a:ext uri="{FF2B5EF4-FFF2-40B4-BE49-F238E27FC236}">
              <a16:creationId xmlns:a16="http://schemas.microsoft.com/office/drawing/2014/main" id="{00000000-0008-0000-0000-000055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324</xdr:row>
      <xdr:rowOff>0</xdr:rowOff>
    </xdr:from>
    <xdr:to>
      <xdr:col>8</xdr:col>
      <xdr:colOff>342900</xdr:colOff>
      <xdr:row>327</xdr:row>
      <xdr:rowOff>60960</xdr:rowOff>
    </xdr:to>
    <xdr:sp macro="" textlink="">
      <xdr:nvSpPr>
        <xdr:cNvPr id="5974" name="Rectangle 6">
          <a:extLst>
            <a:ext uri="{FF2B5EF4-FFF2-40B4-BE49-F238E27FC236}">
              <a16:creationId xmlns:a16="http://schemas.microsoft.com/office/drawing/2014/main" id="{00000000-0008-0000-0000-000056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358</xdr:row>
      <xdr:rowOff>0</xdr:rowOff>
    </xdr:from>
    <xdr:to>
      <xdr:col>8</xdr:col>
      <xdr:colOff>342900</xdr:colOff>
      <xdr:row>361</xdr:row>
      <xdr:rowOff>60960</xdr:rowOff>
    </xdr:to>
    <xdr:sp macro="" textlink="">
      <xdr:nvSpPr>
        <xdr:cNvPr id="5975" name="Rectangle 6">
          <a:extLst>
            <a:ext uri="{FF2B5EF4-FFF2-40B4-BE49-F238E27FC236}">
              <a16:creationId xmlns:a16="http://schemas.microsoft.com/office/drawing/2014/main" id="{00000000-0008-0000-0000-000057170000}"/>
            </a:ext>
          </a:extLst>
        </xdr:cNvPr>
        <xdr:cNvSpPr>
          <a:spLocks noChangeArrowheads="1"/>
        </xdr:cNvSpPr>
      </xdr:nvSpPr>
      <xdr:spPr bwMode="auto">
        <a:xfrm>
          <a:off x="7871460" y="40347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392</xdr:row>
      <xdr:rowOff>0</xdr:rowOff>
    </xdr:from>
    <xdr:to>
      <xdr:col>8</xdr:col>
      <xdr:colOff>342900</xdr:colOff>
      <xdr:row>395</xdr:row>
      <xdr:rowOff>60960</xdr:rowOff>
    </xdr:to>
    <xdr:sp macro="" textlink="">
      <xdr:nvSpPr>
        <xdr:cNvPr id="5976" name="Rectangle 6">
          <a:extLst>
            <a:ext uri="{FF2B5EF4-FFF2-40B4-BE49-F238E27FC236}">
              <a16:creationId xmlns:a16="http://schemas.microsoft.com/office/drawing/2014/main" id="{00000000-0008-0000-0000-000058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392</xdr:row>
      <xdr:rowOff>0</xdr:rowOff>
    </xdr:from>
    <xdr:to>
      <xdr:col>8</xdr:col>
      <xdr:colOff>342900</xdr:colOff>
      <xdr:row>395</xdr:row>
      <xdr:rowOff>60960</xdr:rowOff>
    </xdr:to>
    <xdr:sp macro="" textlink="">
      <xdr:nvSpPr>
        <xdr:cNvPr id="5977" name="Rectangle 6">
          <a:extLst>
            <a:ext uri="{FF2B5EF4-FFF2-40B4-BE49-F238E27FC236}">
              <a16:creationId xmlns:a16="http://schemas.microsoft.com/office/drawing/2014/main" id="{00000000-0008-0000-0000-000059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392</xdr:row>
      <xdr:rowOff>0</xdr:rowOff>
    </xdr:from>
    <xdr:to>
      <xdr:col>8</xdr:col>
      <xdr:colOff>342900</xdr:colOff>
      <xdr:row>395</xdr:row>
      <xdr:rowOff>60960</xdr:rowOff>
    </xdr:to>
    <xdr:sp macro="" textlink="">
      <xdr:nvSpPr>
        <xdr:cNvPr id="5978" name="Rectangle 6">
          <a:extLst>
            <a:ext uri="{FF2B5EF4-FFF2-40B4-BE49-F238E27FC236}">
              <a16:creationId xmlns:a16="http://schemas.microsoft.com/office/drawing/2014/main" id="{00000000-0008-0000-0000-00005A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392</xdr:row>
      <xdr:rowOff>0</xdr:rowOff>
    </xdr:from>
    <xdr:to>
      <xdr:col>8</xdr:col>
      <xdr:colOff>342900</xdr:colOff>
      <xdr:row>395</xdr:row>
      <xdr:rowOff>60960</xdr:rowOff>
    </xdr:to>
    <xdr:sp macro="" textlink="">
      <xdr:nvSpPr>
        <xdr:cNvPr id="5979" name="Rectangle 6">
          <a:extLst>
            <a:ext uri="{FF2B5EF4-FFF2-40B4-BE49-F238E27FC236}">
              <a16:creationId xmlns:a16="http://schemas.microsoft.com/office/drawing/2014/main" id="{00000000-0008-0000-0000-00005B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426</xdr:row>
      <xdr:rowOff>0</xdr:rowOff>
    </xdr:from>
    <xdr:to>
      <xdr:col>8</xdr:col>
      <xdr:colOff>342900</xdr:colOff>
      <xdr:row>429</xdr:row>
      <xdr:rowOff>60960</xdr:rowOff>
    </xdr:to>
    <xdr:sp macro="" textlink="">
      <xdr:nvSpPr>
        <xdr:cNvPr id="5980" name="Rectangle 6">
          <a:extLst>
            <a:ext uri="{FF2B5EF4-FFF2-40B4-BE49-F238E27FC236}">
              <a16:creationId xmlns:a16="http://schemas.microsoft.com/office/drawing/2014/main" id="{00000000-0008-0000-0000-00005C170000}"/>
            </a:ext>
          </a:extLst>
        </xdr:cNvPr>
        <xdr:cNvSpPr>
          <a:spLocks noChangeArrowheads="1"/>
        </xdr:cNvSpPr>
      </xdr:nvSpPr>
      <xdr:spPr bwMode="auto">
        <a:xfrm>
          <a:off x="7871460" y="47785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460</xdr:row>
      <xdr:rowOff>0</xdr:rowOff>
    </xdr:from>
    <xdr:to>
      <xdr:col>8</xdr:col>
      <xdr:colOff>342900</xdr:colOff>
      <xdr:row>463</xdr:row>
      <xdr:rowOff>60960</xdr:rowOff>
    </xdr:to>
    <xdr:sp macro="" textlink="">
      <xdr:nvSpPr>
        <xdr:cNvPr id="5981" name="Rectangle 6">
          <a:extLst>
            <a:ext uri="{FF2B5EF4-FFF2-40B4-BE49-F238E27FC236}">
              <a16:creationId xmlns:a16="http://schemas.microsoft.com/office/drawing/2014/main" id="{00000000-0008-0000-0000-00005D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460</xdr:row>
      <xdr:rowOff>0</xdr:rowOff>
    </xdr:from>
    <xdr:to>
      <xdr:col>8</xdr:col>
      <xdr:colOff>342900</xdr:colOff>
      <xdr:row>463</xdr:row>
      <xdr:rowOff>60960</xdr:rowOff>
    </xdr:to>
    <xdr:sp macro="" textlink="">
      <xdr:nvSpPr>
        <xdr:cNvPr id="5982" name="Rectangle 6">
          <a:extLst>
            <a:ext uri="{FF2B5EF4-FFF2-40B4-BE49-F238E27FC236}">
              <a16:creationId xmlns:a16="http://schemas.microsoft.com/office/drawing/2014/main" id="{00000000-0008-0000-0000-00005E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460</xdr:row>
      <xdr:rowOff>0</xdr:rowOff>
    </xdr:from>
    <xdr:to>
      <xdr:col>8</xdr:col>
      <xdr:colOff>342900</xdr:colOff>
      <xdr:row>463</xdr:row>
      <xdr:rowOff>60960</xdr:rowOff>
    </xdr:to>
    <xdr:sp macro="" textlink="">
      <xdr:nvSpPr>
        <xdr:cNvPr id="5983" name="Rectangle 6">
          <a:extLst>
            <a:ext uri="{FF2B5EF4-FFF2-40B4-BE49-F238E27FC236}">
              <a16:creationId xmlns:a16="http://schemas.microsoft.com/office/drawing/2014/main" id="{00000000-0008-0000-0000-00005F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460</xdr:row>
      <xdr:rowOff>0</xdr:rowOff>
    </xdr:from>
    <xdr:to>
      <xdr:col>8</xdr:col>
      <xdr:colOff>342900</xdr:colOff>
      <xdr:row>463</xdr:row>
      <xdr:rowOff>60960</xdr:rowOff>
    </xdr:to>
    <xdr:sp macro="" textlink="">
      <xdr:nvSpPr>
        <xdr:cNvPr id="5984" name="Rectangle 6">
          <a:extLst>
            <a:ext uri="{FF2B5EF4-FFF2-40B4-BE49-F238E27FC236}">
              <a16:creationId xmlns:a16="http://schemas.microsoft.com/office/drawing/2014/main" id="{00000000-0008-0000-0000-000060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495</xdr:row>
      <xdr:rowOff>0</xdr:rowOff>
    </xdr:from>
    <xdr:to>
      <xdr:col>8</xdr:col>
      <xdr:colOff>342900</xdr:colOff>
      <xdr:row>498</xdr:row>
      <xdr:rowOff>60960</xdr:rowOff>
    </xdr:to>
    <xdr:sp macro="" textlink="">
      <xdr:nvSpPr>
        <xdr:cNvPr id="5985" name="Rectangle 6">
          <a:extLst>
            <a:ext uri="{FF2B5EF4-FFF2-40B4-BE49-F238E27FC236}">
              <a16:creationId xmlns:a16="http://schemas.microsoft.com/office/drawing/2014/main" id="{00000000-0008-0000-0000-000061170000}"/>
            </a:ext>
          </a:extLst>
        </xdr:cNvPr>
        <xdr:cNvSpPr>
          <a:spLocks noChangeArrowheads="1"/>
        </xdr:cNvSpPr>
      </xdr:nvSpPr>
      <xdr:spPr bwMode="auto">
        <a:xfrm>
          <a:off x="7871460" y="555269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529</xdr:row>
      <xdr:rowOff>0</xdr:rowOff>
    </xdr:from>
    <xdr:to>
      <xdr:col>8</xdr:col>
      <xdr:colOff>342900</xdr:colOff>
      <xdr:row>532</xdr:row>
      <xdr:rowOff>60960</xdr:rowOff>
    </xdr:to>
    <xdr:sp macro="" textlink="">
      <xdr:nvSpPr>
        <xdr:cNvPr id="5986" name="Rectangle 6">
          <a:extLst>
            <a:ext uri="{FF2B5EF4-FFF2-40B4-BE49-F238E27FC236}">
              <a16:creationId xmlns:a16="http://schemas.microsoft.com/office/drawing/2014/main" id="{00000000-0008-0000-0000-000062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529</xdr:row>
      <xdr:rowOff>0</xdr:rowOff>
    </xdr:from>
    <xdr:to>
      <xdr:col>8</xdr:col>
      <xdr:colOff>342900</xdr:colOff>
      <xdr:row>532</xdr:row>
      <xdr:rowOff>60960</xdr:rowOff>
    </xdr:to>
    <xdr:sp macro="" textlink="">
      <xdr:nvSpPr>
        <xdr:cNvPr id="5987" name="Rectangle 6">
          <a:extLst>
            <a:ext uri="{FF2B5EF4-FFF2-40B4-BE49-F238E27FC236}">
              <a16:creationId xmlns:a16="http://schemas.microsoft.com/office/drawing/2014/main" id="{00000000-0008-0000-0000-000063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529</xdr:row>
      <xdr:rowOff>0</xdr:rowOff>
    </xdr:from>
    <xdr:to>
      <xdr:col>8</xdr:col>
      <xdr:colOff>342900</xdr:colOff>
      <xdr:row>532</xdr:row>
      <xdr:rowOff>60960</xdr:rowOff>
    </xdr:to>
    <xdr:sp macro="" textlink="">
      <xdr:nvSpPr>
        <xdr:cNvPr id="5988" name="Rectangle 6">
          <a:extLst>
            <a:ext uri="{FF2B5EF4-FFF2-40B4-BE49-F238E27FC236}">
              <a16:creationId xmlns:a16="http://schemas.microsoft.com/office/drawing/2014/main" id="{00000000-0008-0000-0000-000064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529</xdr:row>
      <xdr:rowOff>0</xdr:rowOff>
    </xdr:from>
    <xdr:to>
      <xdr:col>8</xdr:col>
      <xdr:colOff>342900</xdr:colOff>
      <xdr:row>532</xdr:row>
      <xdr:rowOff>60960</xdr:rowOff>
    </xdr:to>
    <xdr:sp macro="" textlink="">
      <xdr:nvSpPr>
        <xdr:cNvPr id="5989" name="Rectangle 6">
          <a:extLst>
            <a:ext uri="{FF2B5EF4-FFF2-40B4-BE49-F238E27FC236}">
              <a16:creationId xmlns:a16="http://schemas.microsoft.com/office/drawing/2014/main" id="{00000000-0008-0000-0000-000065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563</xdr:row>
      <xdr:rowOff>0</xdr:rowOff>
    </xdr:from>
    <xdr:to>
      <xdr:col>8</xdr:col>
      <xdr:colOff>342900</xdr:colOff>
      <xdr:row>566</xdr:row>
      <xdr:rowOff>60960</xdr:rowOff>
    </xdr:to>
    <xdr:sp macro="" textlink="">
      <xdr:nvSpPr>
        <xdr:cNvPr id="5990" name="Rectangle 6">
          <a:extLst>
            <a:ext uri="{FF2B5EF4-FFF2-40B4-BE49-F238E27FC236}">
              <a16:creationId xmlns:a16="http://schemas.microsoft.com/office/drawing/2014/main" id="{00000000-0008-0000-0000-000066170000}"/>
            </a:ext>
          </a:extLst>
        </xdr:cNvPr>
        <xdr:cNvSpPr>
          <a:spLocks noChangeArrowheads="1"/>
        </xdr:cNvSpPr>
      </xdr:nvSpPr>
      <xdr:spPr bwMode="auto">
        <a:xfrm>
          <a:off x="7871460" y="62964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597</xdr:row>
      <xdr:rowOff>0</xdr:rowOff>
    </xdr:from>
    <xdr:to>
      <xdr:col>8</xdr:col>
      <xdr:colOff>342900</xdr:colOff>
      <xdr:row>600</xdr:row>
      <xdr:rowOff>60960</xdr:rowOff>
    </xdr:to>
    <xdr:sp macro="" textlink="">
      <xdr:nvSpPr>
        <xdr:cNvPr id="5991" name="Rectangle 6">
          <a:extLst>
            <a:ext uri="{FF2B5EF4-FFF2-40B4-BE49-F238E27FC236}">
              <a16:creationId xmlns:a16="http://schemas.microsoft.com/office/drawing/2014/main" id="{00000000-0008-0000-0000-000067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597</xdr:row>
      <xdr:rowOff>0</xdr:rowOff>
    </xdr:from>
    <xdr:to>
      <xdr:col>8</xdr:col>
      <xdr:colOff>342900</xdr:colOff>
      <xdr:row>600</xdr:row>
      <xdr:rowOff>60960</xdr:rowOff>
    </xdr:to>
    <xdr:sp macro="" textlink="">
      <xdr:nvSpPr>
        <xdr:cNvPr id="5992" name="Rectangle 6">
          <a:extLst>
            <a:ext uri="{FF2B5EF4-FFF2-40B4-BE49-F238E27FC236}">
              <a16:creationId xmlns:a16="http://schemas.microsoft.com/office/drawing/2014/main" id="{00000000-0008-0000-0000-000068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597</xdr:row>
      <xdr:rowOff>0</xdr:rowOff>
    </xdr:from>
    <xdr:to>
      <xdr:col>8</xdr:col>
      <xdr:colOff>342900</xdr:colOff>
      <xdr:row>600</xdr:row>
      <xdr:rowOff>60960</xdr:rowOff>
    </xdr:to>
    <xdr:sp macro="" textlink="">
      <xdr:nvSpPr>
        <xdr:cNvPr id="5993" name="Rectangle 6">
          <a:extLst>
            <a:ext uri="{FF2B5EF4-FFF2-40B4-BE49-F238E27FC236}">
              <a16:creationId xmlns:a16="http://schemas.microsoft.com/office/drawing/2014/main" id="{00000000-0008-0000-0000-000069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597</xdr:row>
      <xdr:rowOff>0</xdr:rowOff>
    </xdr:from>
    <xdr:to>
      <xdr:col>8</xdr:col>
      <xdr:colOff>342900</xdr:colOff>
      <xdr:row>600</xdr:row>
      <xdr:rowOff>60960</xdr:rowOff>
    </xdr:to>
    <xdr:sp macro="" textlink="">
      <xdr:nvSpPr>
        <xdr:cNvPr id="5994" name="Rectangle 6">
          <a:extLst>
            <a:ext uri="{FF2B5EF4-FFF2-40B4-BE49-F238E27FC236}">
              <a16:creationId xmlns:a16="http://schemas.microsoft.com/office/drawing/2014/main" id="{00000000-0008-0000-0000-00006A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631</xdr:row>
      <xdr:rowOff>0</xdr:rowOff>
    </xdr:from>
    <xdr:to>
      <xdr:col>8</xdr:col>
      <xdr:colOff>342900</xdr:colOff>
      <xdr:row>634</xdr:row>
      <xdr:rowOff>60960</xdr:rowOff>
    </xdr:to>
    <xdr:sp macro="" textlink="">
      <xdr:nvSpPr>
        <xdr:cNvPr id="5995" name="Rectangle 6">
          <a:extLst>
            <a:ext uri="{FF2B5EF4-FFF2-40B4-BE49-F238E27FC236}">
              <a16:creationId xmlns:a16="http://schemas.microsoft.com/office/drawing/2014/main" id="{00000000-0008-0000-0000-00006B170000}"/>
            </a:ext>
          </a:extLst>
        </xdr:cNvPr>
        <xdr:cNvSpPr>
          <a:spLocks noChangeArrowheads="1"/>
        </xdr:cNvSpPr>
      </xdr:nvSpPr>
      <xdr:spPr bwMode="auto">
        <a:xfrm>
          <a:off x="7871460" y="702487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666</xdr:row>
      <xdr:rowOff>0</xdr:rowOff>
    </xdr:from>
    <xdr:to>
      <xdr:col>8</xdr:col>
      <xdr:colOff>342900</xdr:colOff>
      <xdr:row>669</xdr:row>
      <xdr:rowOff>76200</xdr:rowOff>
    </xdr:to>
    <xdr:sp macro="" textlink="">
      <xdr:nvSpPr>
        <xdr:cNvPr id="5996" name="Rectangle 6">
          <a:extLst>
            <a:ext uri="{FF2B5EF4-FFF2-40B4-BE49-F238E27FC236}">
              <a16:creationId xmlns:a16="http://schemas.microsoft.com/office/drawing/2014/main" id="{00000000-0008-0000-0000-00006C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666</xdr:row>
      <xdr:rowOff>0</xdr:rowOff>
    </xdr:from>
    <xdr:to>
      <xdr:col>8</xdr:col>
      <xdr:colOff>342900</xdr:colOff>
      <xdr:row>669</xdr:row>
      <xdr:rowOff>76200</xdr:rowOff>
    </xdr:to>
    <xdr:sp macro="" textlink="">
      <xdr:nvSpPr>
        <xdr:cNvPr id="5997" name="Rectangle 6">
          <a:extLst>
            <a:ext uri="{FF2B5EF4-FFF2-40B4-BE49-F238E27FC236}">
              <a16:creationId xmlns:a16="http://schemas.microsoft.com/office/drawing/2014/main" id="{00000000-0008-0000-0000-00006D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666</xdr:row>
      <xdr:rowOff>0</xdr:rowOff>
    </xdr:from>
    <xdr:to>
      <xdr:col>8</xdr:col>
      <xdr:colOff>342900</xdr:colOff>
      <xdr:row>669</xdr:row>
      <xdr:rowOff>76200</xdr:rowOff>
    </xdr:to>
    <xdr:sp macro="" textlink="">
      <xdr:nvSpPr>
        <xdr:cNvPr id="5998" name="Rectangle 6">
          <a:extLst>
            <a:ext uri="{FF2B5EF4-FFF2-40B4-BE49-F238E27FC236}">
              <a16:creationId xmlns:a16="http://schemas.microsoft.com/office/drawing/2014/main" id="{00000000-0008-0000-0000-00006E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666</xdr:row>
      <xdr:rowOff>0</xdr:rowOff>
    </xdr:from>
    <xdr:to>
      <xdr:col>8</xdr:col>
      <xdr:colOff>342900</xdr:colOff>
      <xdr:row>669</xdr:row>
      <xdr:rowOff>76200</xdr:rowOff>
    </xdr:to>
    <xdr:sp macro="" textlink="">
      <xdr:nvSpPr>
        <xdr:cNvPr id="5999" name="Rectangle 6">
          <a:extLst>
            <a:ext uri="{FF2B5EF4-FFF2-40B4-BE49-F238E27FC236}">
              <a16:creationId xmlns:a16="http://schemas.microsoft.com/office/drawing/2014/main" id="{00000000-0008-0000-0000-00006F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731</xdr:row>
      <xdr:rowOff>0</xdr:rowOff>
    </xdr:from>
    <xdr:to>
      <xdr:col>8</xdr:col>
      <xdr:colOff>342900</xdr:colOff>
      <xdr:row>733</xdr:row>
      <xdr:rowOff>111760</xdr:rowOff>
    </xdr:to>
    <xdr:sp macro="" textlink="">
      <xdr:nvSpPr>
        <xdr:cNvPr id="6000" name="Rectangle 6">
          <a:extLst>
            <a:ext uri="{FF2B5EF4-FFF2-40B4-BE49-F238E27FC236}">
              <a16:creationId xmlns:a16="http://schemas.microsoft.com/office/drawing/2014/main" id="{00000000-0008-0000-0000-000070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731</xdr:row>
      <xdr:rowOff>0</xdr:rowOff>
    </xdr:from>
    <xdr:to>
      <xdr:col>8</xdr:col>
      <xdr:colOff>342900</xdr:colOff>
      <xdr:row>733</xdr:row>
      <xdr:rowOff>111760</xdr:rowOff>
    </xdr:to>
    <xdr:sp macro="" textlink="">
      <xdr:nvSpPr>
        <xdr:cNvPr id="6001" name="Rectangle 6">
          <a:extLst>
            <a:ext uri="{FF2B5EF4-FFF2-40B4-BE49-F238E27FC236}">
              <a16:creationId xmlns:a16="http://schemas.microsoft.com/office/drawing/2014/main" id="{00000000-0008-0000-0000-000071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731</xdr:row>
      <xdr:rowOff>0</xdr:rowOff>
    </xdr:from>
    <xdr:to>
      <xdr:col>8</xdr:col>
      <xdr:colOff>342900</xdr:colOff>
      <xdr:row>733</xdr:row>
      <xdr:rowOff>111760</xdr:rowOff>
    </xdr:to>
    <xdr:sp macro="" textlink="">
      <xdr:nvSpPr>
        <xdr:cNvPr id="6002" name="Rectangle 6">
          <a:extLst>
            <a:ext uri="{FF2B5EF4-FFF2-40B4-BE49-F238E27FC236}">
              <a16:creationId xmlns:a16="http://schemas.microsoft.com/office/drawing/2014/main" id="{00000000-0008-0000-0000-000072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731</xdr:row>
      <xdr:rowOff>0</xdr:rowOff>
    </xdr:from>
    <xdr:to>
      <xdr:col>8</xdr:col>
      <xdr:colOff>342900</xdr:colOff>
      <xdr:row>733</xdr:row>
      <xdr:rowOff>111760</xdr:rowOff>
    </xdr:to>
    <xdr:sp macro="" textlink="">
      <xdr:nvSpPr>
        <xdr:cNvPr id="6003" name="Rectangle 6">
          <a:extLst>
            <a:ext uri="{FF2B5EF4-FFF2-40B4-BE49-F238E27FC236}">
              <a16:creationId xmlns:a16="http://schemas.microsoft.com/office/drawing/2014/main" id="{00000000-0008-0000-0000-000073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0</xdr:colOff>
      <xdr:row>698</xdr:row>
      <xdr:rowOff>0</xdr:rowOff>
    </xdr:from>
    <xdr:ext cx="342900" cy="441325"/>
    <xdr:sp macro="" textlink="">
      <xdr:nvSpPr>
        <xdr:cNvPr id="58" name="Rectangle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698</xdr:row>
      <xdr:rowOff>0</xdr:rowOff>
    </xdr:from>
    <xdr:ext cx="342900" cy="441325"/>
    <xdr:sp macro="" textlink="">
      <xdr:nvSpPr>
        <xdr:cNvPr id="59" name="Rectangle 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698</xdr:row>
      <xdr:rowOff>0</xdr:rowOff>
    </xdr:from>
    <xdr:ext cx="342900" cy="441325"/>
    <xdr:sp macro="" textlink="">
      <xdr:nvSpPr>
        <xdr:cNvPr id="60" name="Rectangle 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698</xdr:row>
      <xdr:rowOff>0</xdr:rowOff>
    </xdr:from>
    <xdr:ext cx="342900" cy="441325"/>
    <xdr:sp macro="" textlink="">
      <xdr:nvSpPr>
        <xdr:cNvPr id="61" name="Rectangle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82</xdr:row>
      <xdr:rowOff>0</xdr:rowOff>
    </xdr:from>
    <xdr:ext cx="342900" cy="461010"/>
    <xdr:sp macro="" textlink="">
      <xdr:nvSpPr>
        <xdr:cNvPr id="62" name="Rectangle 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82</xdr:row>
      <xdr:rowOff>0</xdr:rowOff>
    </xdr:from>
    <xdr:ext cx="342900" cy="461010"/>
    <xdr:sp macro="" textlink="">
      <xdr:nvSpPr>
        <xdr:cNvPr id="63" name="Rectangle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82</xdr:row>
      <xdr:rowOff>0</xdr:rowOff>
    </xdr:from>
    <xdr:ext cx="342900" cy="461010"/>
    <xdr:sp macro="" textlink="">
      <xdr:nvSpPr>
        <xdr:cNvPr id="64" name="Rectangle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82</xdr:row>
      <xdr:rowOff>0</xdr:rowOff>
    </xdr:from>
    <xdr:ext cx="342900" cy="461010"/>
    <xdr:sp macro="" textlink="">
      <xdr:nvSpPr>
        <xdr:cNvPr id="65" name="Rectangle 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42900" cy="441325"/>
    <xdr:sp macro="" textlink="">
      <xdr:nvSpPr>
        <xdr:cNvPr id="66" name="Rectangle 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42900" cy="441325"/>
    <xdr:sp macro="" textlink="">
      <xdr:nvSpPr>
        <xdr:cNvPr id="67" name="Rectangle 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42900" cy="441325"/>
    <xdr:sp macro="" textlink="">
      <xdr:nvSpPr>
        <xdr:cNvPr id="68" name="Rectangle 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42900" cy="441325"/>
    <xdr:sp macro="" textlink="">
      <xdr:nvSpPr>
        <xdr:cNvPr id="69" name="Rectangle 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42900" cy="441960"/>
    <xdr:sp macro="" textlink="">
      <xdr:nvSpPr>
        <xdr:cNvPr id="70" name="Rectangle 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42900" cy="441325"/>
    <xdr:sp macro="" textlink="">
      <xdr:nvSpPr>
        <xdr:cNvPr id="71" name="Rectangle 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42900" cy="441325"/>
    <xdr:sp macro="" textlink="">
      <xdr:nvSpPr>
        <xdr:cNvPr id="72" name="Rectangle 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42900" cy="441325"/>
    <xdr:sp macro="" textlink="">
      <xdr:nvSpPr>
        <xdr:cNvPr id="73" name="Rectangle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42900" cy="441325"/>
    <xdr:sp macro="" textlink="">
      <xdr:nvSpPr>
        <xdr:cNvPr id="74" name="Rectangle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42900" cy="441960"/>
    <xdr:sp macro="" textlink="">
      <xdr:nvSpPr>
        <xdr:cNvPr id="75" name="Rectangle 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42900" cy="441960"/>
    <xdr:sp macro="" textlink="">
      <xdr:nvSpPr>
        <xdr:cNvPr id="76" name="Rectangle 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42900" cy="441960"/>
    <xdr:sp macro="" textlink="">
      <xdr:nvSpPr>
        <xdr:cNvPr id="77" name="Rectangle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42900" cy="441960"/>
    <xdr:sp macro="" textlink="">
      <xdr:nvSpPr>
        <xdr:cNvPr id="78" name="Rectangle 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42900" cy="441960"/>
    <xdr:sp macro="" textlink="">
      <xdr:nvSpPr>
        <xdr:cNvPr id="79" name="Rectangle 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42900" cy="441325"/>
    <xdr:sp macro="" textlink="">
      <xdr:nvSpPr>
        <xdr:cNvPr id="80" name="Rectangle 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42900" cy="441325"/>
    <xdr:sp macro="" textlink="">
      <xdr:nvSpPr>
        <xdr:cNvPr id="81" name="Rectangle 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42900" cy="441325"/>
    <xdr:sp macro="" textlink="">
      <xdr:nvSpPr>
        <xdr:cNvPr id="82" name="Rectangle 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42900" cy="441325"/>
    <xdr:sp macro="" textlink="">
      <xdr:nvSpPr>
        <xdr:cNvPr id="83" name="Rectangle 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960"/>
    <xdr:sp macro="" textlink="">
      <xdr:nvSpPr>
        <xdr:cNvPr id="84" name="Rectangle 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960"/>
    <xdr:sp macro="" textlink="">
      <xdr:nvSpPr>
        <xdr:cNvPr id="85" name="Rectangle 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960"/>
    <xdr:sp macro="" textlink="">
      <xdr:nvSpPr>
        <xdr:cNvPr id="86" name="Rectangle 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960"/>
    <xdr:sp macro="" textlink="">
      <xdr:nvSpPr>
        <xdr:cNvPr id="87" name="Rectangle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960"/>
    <xdr:sp macro="" textlink="">
      <xdr:nvSpPr>
        <xdr:cNvPr id="88" name="Rectangle 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960"/>
    <xdr:sp macro="" textlink="">
      <xdr:nvSpPr>
        <xdr:cNvPr id="89" name="Rectangle 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325"/>
    <xdr:sp macro="" textlink="">
      <xdr:nvSpPr>
        <xdr:cNvPr id="90" name="Rectangle 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325"/>
    <xdr:sp macro="" textlink="">
      <xdr:nvSpPr>
        <xdr:cNvPr id="91" name="Rectangle 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325"/>
    <xdr:sp macro="" textlink="">
      <xdr:nvSpPr>
        <xdr:cNvPr id="92" name="Rectangle 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120</xdr:row>
      <xdr:rowOff>0</xdr:rowOff>
    </xdr:from>
    <xdr:ext cx="342900" cy="441325"/>
    <xdr:sp macro="" textlink="">
      <xdr:nvSpPr>
        <xdr:cNvPr id="93" name="Rectangle 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94" name="Rectangle 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95" name="Rectangl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96" name="Rectangle 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97" name="Rectangle 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98" name="Rectangle 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99" name="Rectangle 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100" name="Rectangle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101" name="Rectangle 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102" name="Rectangle 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960"/>
    <xdr:sp macro="" textlink="">
      <xdr:nvSpPr>
        <xdr:cNvPr id="103" name="Rectangle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325"/>
    <xdr:sp macro="" textlink="">
      <xdr:nvSpPr>
        <xdr:cNvPr id="104" name="Rectangle 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325"/>
    <xdr:sp macro="" textlink="">
      <xdr:nvSpPr>
        <xdr:cNvPr id="105" name="Rectangle 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325"/>
    <xdr:sp macro="" textlink="">
      <xdr:nvSpPr>
        <xdr:cNvPr id="106" name="Rectangle 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154</xdr:row>
      <xdr:rowOff>0</xdr:rowOff>
    </xdr:from>
    <xdr:ext cx="342900" cy="441325"/>
    <xdr:sp macro="" textlink="">
      <xdr:nvSpPr>
        <xdr:cNvPr id="107" name="Rectangle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08" name="Rectangle 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09" name="Rectangle 6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10" name="Rectangle 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11" name="Rectangle 6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12" name="Rectangle 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13" name="Rectangle 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14" name="Rectangle 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15" name="Rectangle 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16" name="Rectangle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960"/>
    <xdr:sp macro="" textlink="">
      <xdr:nvSpPr>
        <xdr:cNvPr id="117" name="Rectangle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325"/>
    <xdr:sp macro="" textlink="">
      <xdr:nvSpPr>
        <xdr:cNvPr id="118" name="Rectangle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325"/>
    <xdr:sp macro="" textlink="">
      <xdr:nvSpPr>
        <xdr:cNvPr id="119" name="Rectangle 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325"/>
    <xdr:sp macro="" textlink="">
      <xdr:nvSpPr>
        <xdr:cNvPr id="120" name="Rectangle 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188</xdr:row>
      <xdr:rowOff>0</xdr:rowOff>
    </xdr:from>
    <xdr:ext cx="342900" cy="441325"/>
    <xdr:sp macro="" textlink="">
      <xdr:nvSpPr>
        <xdr:cNvPr id="121" name="Rectangle 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22" name="Rectangle 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23" name="Rectangle 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24" name="Rectangle 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25" name="Rectangle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26" name="Rectangle 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27" name="Rectangle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28" name="Rectangle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29" name="Rectangle 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30" name="Rectangle 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31" name="Rectangle 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32" name="Rectangle 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33" name="Rectangle 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34" name="Rectangle 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960"/>
    <xdr:sp macro="" textlink="">
      <xdr:nvSpPr>
        <xdr:cNvPr id="135" name="Rectangle 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325"/>
    <xdr:sp macro="" textlink="">
      <xdr:nvSpPr>
        <xdr:cNvPr id="136" name="Rectangle 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325"/>
    <xdr:sp macro="" textlink="">
      <xdr:nvSpPr>
        <xdr:cNvPr id="137" name="Rectangle 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325"/>
    <xdr:sp macro="" textlink="">
      <xdr:nvSpPr>
        <xdr:cNvPr id="138" name="Rectangle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222</xdr:row>
      <xdr:rowOff>0</xdr:rowOff>
    </xdr:from>
    <xdr:ext cx="342900" cy="441325"/>
    <xdr:sp macro="" textlink="">
      <xdr:nvSpPr>
        <xdr:cNvPr id="139" name="Rectangle 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0" name="Rectangle 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1" name="Rectangle 6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2" name="Rectangle 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3" name="Rectangle 6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4" name="Rectangle 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5" name="Rectangle 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6" name="Rectangle 6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7" name="Rectangle 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8" name="Rectangle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49" name="Rectangle 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50" name="Rectangle 6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51" name="Rectangle 6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52" name="Rectangle 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53" name="Rectangle 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960"/>
    <xdr:sp macro="" textlink="">
      <xdr:nvSpPr>
        <xdr:cNvPr id="154" name="Rectangle 6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325"/>
    <xdr:sp macro="" textlink="">
      <xdr:nvSpPr>
        <xdr:cNvPr id="155" name="Rectangle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325"/>
    <xdr:sp macro="" textlink="">
      <xdr:nvSpPr>
        <xdr:cNvPr id="156" name="Rectangle 6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325"/>
    <xdr:sp macro="" textlink="">
      <xdr:nvSpPr>
        <xdr:cNvPr id="157" name="Rectangle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256</xdr:row>
      <xdr:rowOff>0</xdr:rowOff>
    </xdr:from>
    <xdr:ext cx="342900" cy="441325"/>
    <xdr:sp macro="" textlink="">
      <xdr:nvSpPr>
        <xdr:cNvPr id="158" name="Rectangle 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82" name="Rectangle 6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83" name="Rectangle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84" name="Rectangle 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85" name="Rectangle 6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86" name="Rectangle 6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87" name="Rectangle 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88" name="Rectangle 6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89" name="Rectangle 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0" name="Rectangle 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1" name="Rectangle 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2" name="Rectangle 6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3" name="Rectangle 6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4" name="Rectangle 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5" name="Rectangle 6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6" name="Rectangle 6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7" name="Rectangle 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8" name="Rectangle 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199" name="Rectangle 6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960"/>
    <xdr:sp macro="" textlink="">
      <xdr:nvSpPr>
        <xdr:cNvPr id="200" name="Rectangle 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325"/>
    <xdr:sp macro="" textlink="">
      <xdr:nvSpPr>
        <xdr:cNvPr id="201" name="Rectangle 6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325"/>
    <xdr:sp macro="" textlink="">
      <xdr:nvSpPr>
        <xdr:cNvPr id="202" name="Rectangle 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325"/>
    <xdr:sp macro="" textlink="">
      <xdr:nvSpPr>
        <xdr:cNvPr id="203" name="Rectangle 6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290</xdr:row>
      <xdr:rowOff>0</xdr:rowOff>
    </xdr:from>
    <xdr:ext cx="342900" cy="441325"/>
    <xdr:sp macro="" textlink="">
      <xdr:nvSpPr>
        <xdr:cNvPr id="204" name="Rectangle 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05" name="Rectangle 6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06" name="Rectangle 6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07" name="Rectangle 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08" name="Rectangle 6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09" name="Rectangle 6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0" name="Rectangle 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1" name="Rectangle 6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2" name="Rectangle 6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3" name="Rectangle 6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4" name="Rectangle 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5" name="Rectangle 6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6" name="Rectangle 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7" name="Rectangle 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8" name="Rectangle 6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19" name="Rectangle 6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20" name="Rectangle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21" name="Rectangle 6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22" name="Rectangle 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23" name="Rectangle 6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24" name="Rectangle 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25" name="Rectangle 6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26" name="Rectangle 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27" name="Rectangle 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960"/>
    <xdr:sp macro="" textlink="">
      <xdr:nvSpPr>
        <xdr:cNvPr id="228" name="Rectangle 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325"/>
    <xdr:sp macro="" textlink="">
      <xdr:nvSpPr>
        <xdr:cNvPr id="229" name="Rectangle 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325"/>
    <xdr:sp macro="" textlink="">
      <xdr:nvSpPr>
        <xdr:cNvPr id="230" name="Rectangle 6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325"/>
    <xdr:sp macro="" textlink="">
      <xdr:nvSpPr>
        <xdr:cNvPr id="231" name="Rectangle 6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324</xdr:row>
      <xdr:rowOff>0</xdr:rowOff>
    </xdr:from>
    <xdr:ext cx="342900" cy="441325"/>
    <xdr:sp macro="" textlink="">
      <xdr:nvSpPr>
        <xdr:cNvPr id="232" name="Rectangle 6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33" name="Rectangle 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34" name="Rectangle 6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35" name="Rectangle 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36" name="Rectangle 6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37" name="Rectangle 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38" name="Rectangle 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39" name="Rectangle 6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0" name="Rectangle 6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1" name="Rectangle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2" name="Rectangle 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3" name="Rectangle 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4" name="Rectangle 6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5" name="Rectangle 6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6" name="Rectangle 6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7" name="Rectangle 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8" name="Rectangle 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49" name="Rectangle 6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50" name="Rectangle 6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51" name="Rectangle 6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52" name="Rectangle 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53" name="Rectangle 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54" name="Rectangle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55" name="Rectangle 6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960"/>
    <xdr:sp macro="" textlink="">
      <xdr:nvSpPr>
        <xdr:cNvPr id="256" name="Rectangle 6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325"/>
    <xdr:sp macro="" textlink="">
      <xdr:nvSpPr>
        <xdr:cNvPr id="257" name="Rectangle 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325"/>
    <xdr:sp macro="" textlink="">
      <xdr:nvSpPr>
        <xdr:cNvPr id="258" name="Rectangle 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325"/>
    <xdr:sp macro="" textlink="">
      <xdr:nvSpPr>
        <xdr:cNvPr id="259" name="Rectangle 6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358</xdr:row>
      <xdr:rowOff>0</xdr:rowOff>
    </xdr:from>
    <xdr:ext cx="342900" cy="441325"/>
    <xdr:sp macro="" textlink="">
      <xdr:nvSpPr>
        <xdr:cNvPr id="260" name="Rectangle 6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61" name="Rectangle 6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62" name="Rectangle 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63" name="Rectangle 6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64" name="Rectangle 6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65" name="Rectangle 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66" name="Rectangle 6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67" name="Rectangle 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68" name="Rectangle 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69" name="Rectangle 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0" name="Rectangle 6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1" name="Rectangle 6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2" name="Rectangle 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3" name="Rectangle 6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4" name="Rectangle 6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5" name="Rectangle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6" name="Rectangle 6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7" name="Rectangle 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8" name="Rectangle 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79" name="Rectangle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0" name="Rectangle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1" name="Rectangle 6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2" name="Rectangle 6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3" name="Rectangle 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4" name="Rectangle 6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5" name="Rectangle 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6" name="Rectangle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7" name="Rectangle 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8" name="Rectangle 6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960"/>
    <xdr:sp macro="" textlink="">
      <xdr:nvSpPr>
        <xdr:cNvPr id="289" name="Rectangle 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325"/>
    <xdr:sp macro="" textlink="">
      <xdr:nvSpPr>
        <xdr:cNvPr id="290" name="Rectangle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325"/>
    <xdr:sp macro="" textlink="">
      <xdr:nvSpPr>
        <xdr:cNvPr id="291" name="Rectangle 6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325"/>
    <xdr:sp macro="" textlink="">
      <xdr:nvSpPr>
        <xdr:cNvPr id="292" name="Rectangle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392</xdr:row>
      <xdr:rowOff>0</xdr:rowOff>
    </xdr:from>
    <xdr:ext cx="342900" cy="441325"/>
    <xdr:sp macro="" textlink="">
      <xdr:nvSpPr>
        <xdr:cNvPr id="293" name="Rectangle 6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294" name="Rectangle 6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295" name="Rectangle 6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296" name="Rectangle 6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297" name="Rectangle 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298" name="Rectangle 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299" name="Rectangle 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0" name="Rectangle 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1" name="Rectangle 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2" name="Rectangle 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3" name="Rectangle 6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4" name="Rectangle 6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5" name="Rectangle 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6" name="Rectangle 6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7" name="Rectangle 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8" name="Rectangle 6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09" name="Rectangle 6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0" name="Rectangle 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1" name="Rectangle 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2" name="Rectangle 6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3" name="Rectangle 6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4" name="Rectangle 6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5" name="Rectangle 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6" name="Rectangle 6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7" name="Rectangle 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8" name="Rectangle 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19" name="Rectangle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20" name="Rectangle 6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21" name="Rectangle 6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22" name="Rectangle 6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23" name="Rectangle 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24" name="Rectangle 6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25" name="Rectangle 6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960"/>
    <xdr:sp macro="" textlink="">
      <xdr:nvSpPr>
        <xdr:cNvPr id="326" name="Rectangle 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325"/>
    <xdr:sp macro="" textlink="">
      <xdr:nvSpPr>
        <xdr:cNvPr id="327" name="Rectangle 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325"/>
    <xdr:sp macro="" textlink="">
      <xdr:nvSpPr>
        <xdr:cNvPr id="328" name="Rectangle 6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325"/>
    <xdr:sp macro="" textlink="">
      <xdr:nvSpPr>
        <xdr:cNvPr id="329" name="Rectangle 6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426</xdr:row>
      <xdr:rowOff>0</xdr:rowOff>
    </xdr:from>
    <xdr:ext cx="342900" cy="441325"/>
    <xdr:sp macro="" textlink="">
      <xdr:nvSpPr>
        <xdr:cNvPr id="330" name="Rectangle 6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31" name="Rectangle 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32" name="Rectangle 6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33" name="Rectangle 6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34" name="Rectangle 6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35" name="Rectangle 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36" name="Rectangle 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37" name="Rectangle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38" name="Rectangle 6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39" name="Rectangle 6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0" name="Rectangle 6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1" name="Rectangle 6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2" name="Rectangle 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3" name="Rectangle 6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4" name="Rectangle 6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5" name="Rectangle 6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6" name="Rectangle 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7" name="Rectangle 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8" name="Rectangle 6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49" name="Rectangle 6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0" name="Rectangle 6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1" name="Rectangle 6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2" name="Rectangle 6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3" name="Rectangle 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4" name="Rectangle 6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5" name="Rectangle 6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6" name="Rectangle 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7" name="Rectangle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8" name="Rectangle 6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59" name="Rectangle 6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60" name="Rectangle 6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61" name="Rectangle 6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62" name="Rectangle 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63" name="Rectangle 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960"/>
    <xdr:sp macro="" textlink="">
      <xdr:nvSpPr>
        <xdr:cNvPr id="364" name="Rectangle 6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325"/>
    <xdr:sp macro="" textlink="">
      <xdr:nvSpPr>
        <xdr:cNvPr id="365" name="Rectangle 6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325"/>
    <xdr:sp macro="" textlink="">
      <xdr:nvSpPr>
        <xdr:cNvPr id="366" name="Rectangle 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325"/>
    <xdr:sp macro="" textlink="">
      <xdr:nvSpPr>
        <xdr:cNvPr id="367" name="Rectangle 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460</xdr:row>
      <xdr:rowOff>0</xdr:rowOff>
    </xdr:from>
    <xdr:ext cx="342900" cy="441325"/>
    <xdr:sp macro="" textlink="">
      <xdr:nvSpPr>
        <xdr:cNvPr id="368" name="Rectangle 6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69" name="Rectangle 6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0" name="Rectangle 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1" name="Rectangle 6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2" name="Rectangle 6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3" name="Rectangle 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4" name="Rectangle 6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5" name="Rectangle 6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6" name="Rectangle 6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7" name="Rectangle 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8" name="Rectangle 6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79" name="Rectangle 6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0" name="Rectangle 6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1" name="Rectangle 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2" name="Rectangle 6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3" name="Rectangle 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4" name="Rectangle 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5" name="Rectangle 6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6" name="Rectangle 6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7" name="Rectangle 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8" name="Rectangle 6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89" name="Rectangle 6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0" name="Rectangle 6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1" name="Rectangle 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2" name="Rectangle 6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3" name="Rectangle 6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4" name="Rectangle 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5" name="Rectangle 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6" name="Rectangle 6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7" name="Rectangle 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8" name="Rectangle 6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399" name="Rectangle 6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400" name="Rectangle 6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401" name="Rectangle 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402" name="Rectangle 6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403" name="Rectangle 6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404" name="Rectangle 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405" name="Rectangle 6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960"/>
    <xdr:sp macro="" textlink="">
      <xdr:nvSpPr>
        <xdr:cNvPr id="406" name="Rectangle 6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325"/>
    <xdr:sp macro="" textlink="">
      <xdr:nvSpPr>
        <xdr:cNvPr id="407" name="Rectangle 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325"/>
    <xdr:sp macro="" textlink="">
      <xdr:nvSpPr>
        <xdr:cNvPr id="408" name="Rectangle 6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325"/>
    <xdr:sp macro="" textlink="">
      <xdr:nvSpPr>
        <xdr:cNvPr id="409" name="Rectangle 6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495</xdr:row>
      <xdr:rowOff>0</xdr:rowOff>
    </xdr:from>
    <xdr:ext cx="342900" cy="441325"/>
    <xdr:sp macro="" textlink="">
      <xdr:nvSpPr>
        <xdr:cNvPr id="410" name="Rectangle 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11" name="Rectangle 6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12" name="Rectangle 6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13" name="Rectangle 6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14" name="Rectangle 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15" name="Rectangle 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16" name="Rectangle 6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17" name="Rectangle 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18" name="Rectangle 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19" name="Rectangle 6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0" name="Rectangle 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1" name="Rectangle 6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2" name="Rectangle 6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3" name="Rectangle 6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4" name="Rectangle 6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5" name="Rectangle 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6" name="Rectangle 6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7" name="Rectangle 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8" name="Rectangle 6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29" name="Rectangle 6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0" name="Rectangle 6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1" name="Rectangle 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2" name="Rectangle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3" name="Rectangle 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4" name="Rectangle 6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5" name="Rectangle 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6" name="Rectangle 6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7" name="Rectangle 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8" name="Rectangle 6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39" name="Rectangle 6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0" name="Rectangle 6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1" name="Rectangle 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2" name="Rectangle 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3" name="Rectangle 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4" name="Rectangle 6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5" name="Rectangle 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6" name="Rectangle 6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7" name="Rectangle 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8" name="Rectangle 6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960"/>
    <xdr:sp macro="" textlink="">
      <xdr:nvSpPr>
        <xdr:cNvPr id="449" name="Rectangle 6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325"/>
    <xdr:sp macro="" textlink="">
      <xdr:nvSpPr>
        <xdr:cNvPr id="450" name="Rectangle 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325"/>
    <xdr:sp macro="" textlink="">
      <xdr:nvSpPr>
        <xdr:cNvPr id="451" name="Rectangle 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325"/>
    <xdr:sp macro="" textlink="">
      <xdr:nvSpPr>
        <xdr:cNvPr id="452" name="Rectangle 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529</xdr:row>
      <xdr:rowOff>0</xdr:rowOff>
    </xdr:from>
    <xdr:ext cx="342900" cy="441325"/>
    <xdr:sp macro="" textlink="">
      <xdr:nvSpPr>
        <xdr:cNvPr id="453" name="Rectangle 6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54" name="Rectangle 6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55" name="Rectangle 6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56" name="Rectangle 6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57" name="Rectangle 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58" name="Rectangle 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59" name="Rectangle 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0" name="Rectangle 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1" name="Rectangle 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2" name="Rectangle 6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3" name="Rectangle 6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4" name="Rectangle 6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5" name="Rectangle 6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6" name="Rectangle 6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7" name="Rectangle 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8" name="Rectangle 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69" name="Rectangle 6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0" name="Rectangle 6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1" name="Rectangle 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2" name="Rectangle 6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3" name="Rectangle 6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4" name="Rectangle 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5" name="Rectangle 6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6" name="Rectangle 6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7" name="Rectangle 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8" name="Rectangle 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79" name="Rectangle 6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0" name="Rectangle 6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1" name="Rectangle 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2" name="Rectangle 6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3" name="Rectangle 6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4" name="Rectangle 6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5" name="Rectangle 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6" name="Rectangle 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7" name="Rectangle 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8" name="Rectangle 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89" name="Rectangle 6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90" name="Rectangle 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91" name="Rectangle 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92" name="Rectangle 6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93" name="Rectangle 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94" name="Rectangle 6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95" name="Rectangle 6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960"/>
    <xdr:sp macro="" textlink="">
      <xdr:nvSpPr>
        <xdr:cNvPr id="496" name="Rectangle 6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325"/>
    <xdr:sp macro="" textlink="">
      <xdr:nvSpPr>
        <xdr:cNvPr id="497" name="Rectangle 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325"/>
    <xdr:sp macro="" textlink="">
      <xdr:nvSpPr>
        <xdr:cNvPr id="498" name="Rectangle 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325"/>
    <xdr:sp macro="" textlink="">
      <xdr:nvSpPr>
        <xdr:cNvPr id="499" name="Rectangle 6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563</xdr:row>
      <xdr:rowOff>0</xdr:rowOff>
    </xdr:from>
    <xdr:ext cx="342900" cy="441325"/>
    <xdr:sp macro="" textlink="">
      <xdr:nvSpPr>
        <xdr:cNvPr id="500" name="Rectangle 6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01" name="Rectangle 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02" name="Rectangle 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03" name="Rectangle 6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04" name="Rectangle 6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05" name="Rectangle 6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06" name="Rectangle 6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07" name="Rectangle 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08" name="Rectangle 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09" name="Rectangle 6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0" name="Rectangle 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1" name="Rectangle 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2" name="Rectangle 6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3" name="Rectangle 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4" name="Rectangle 6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5" name="Rectangle 6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6" name="Rectangle 6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7" name="Rectangle 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8" name="Rectangle 6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19" name="Rectangle 6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0" name="Rectangle 6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1" name="Rectangle 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2" name="Rectangle 6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3" name="Rectangle 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4" name="Rectangle 6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5" name="Rectangle 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6" name="Rectangle 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7" name="Rectangle 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8" name="Rectangle 6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29" name="Rectangle 6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0" name="Rectangle 6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1" name="Rectangle 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2" name="Rectangle 6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3" name="Rectangle 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4" name="Rectangle 6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5" name="Rectangle 6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6" name="Rectangle 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7" name="Rectangle 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8" name="Rectangle 6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39" name="Rectangle 6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40" name="Rectangle 6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41" name="Rectangle 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42" name="Rectangle 6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43" name="Rectangle 6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960"/>
    <xdr:sp macro="" textlink="">
      <xdr:nvSpPr>
        <xdr:cNvPr id="544" name="Rectangle 6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325"/>
    <xdr:sp macro="" textlink="">
      <xdr:nvSpPr>
        <xdr:cNvPr id="545" name="Rectangle 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325"/>
    <xdr:sp macro="" textlink="">
      <xdr:nvSpPr>
        <xdr:cNvPr id="546" name="Rectangle 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325"/>
    <xdr:sp macro="" textlink="">
      <xdr:nvSpPr>
        <xdr:cNvPr id="547" name="Rectangle 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597</xdr:row>
      <xdr:rowOff>0</xdr:rowOff>
    </xdr:from>
    <xdr:ext cx="342900" cy="441325"/>
    <xdr:sp macro="" textlink="">
      <xdr:nvSpPr>
        <xdr:cNvPr id="548" name="Rectangle 6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49" name="Rectangle 6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0" name="Rectangle 6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1" name="Rectangle 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2" name="Rectangle 6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3" name="Rectangle 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4" name="Rectangle 6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5" name="Rectangle 6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6" name="Rectangle 6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7" name="Rectangle 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8" name="Rectangle 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59" name="Rectangle 6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0" name="Rectangle 6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1" name="Rectangle 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2" name="Rectangle 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3" name="Rectangle 6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4" name="Rectangle 6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5" name="Rectangle 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6" name="Rectangle 6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7" name="Rectangle 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8" name="Rectangle 6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69" name="Rectangle 6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0" name="Rectangle 6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1" name="Rectangle 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2" name="Rectangle 6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3" name="Rectangle 6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4" name="Rectangle 6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5" name="Rectangle 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6" name="Rectangle 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7" name="Rectangle 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8" name="Rectangle 6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79" name="Rectangle 6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0" name="Rectangle 6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1" name="Rectangle 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2" name="Rectangle 6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3" name="Rectangle 6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4" name="Rectangle 6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5" name="Rectangle 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6" name="Rectangle 6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7" name="Rectangle 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8" name="Rectangle 6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89" name="Rectangle 6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90" name="Rectangle 6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91" name="Rectangle 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92" name="Rectangle 6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93" name="Rectangle 6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94" name="Rectangle 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95" name="Rectangle 6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960"/>
    <xdr:sp macro="" textlink="">
      <xdr:nvSpPr>
        <xdr:cNvPr id="596" name="Rectangle 6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325"/>
    <xdr:sp macro="" textlink="">
      <xdr:nvSpPr>
        <xdr:cNvPr id="597" name="Rectangle 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325"/>
    <xdr:sp macro="" textlink="">
      <xdr:nvSpPr>
        <xdr:cNvPr id="598" name="Rectangle 6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325"/>
    <xdr:sp macro="" textlink="">
      <xdr:nvSpPr>
        <xdr:cNvPr id="599" name="Rectangle 6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631</xdr:row>
      <xdr:rowOff>0</xdr:rowOff>
    </xdr:from>
    <xdr:ext cx="342900" cy="441325"/>
    <xdr:sp macro="" textlink="">
      <xdr:nvSpPr>
        <xdr:cNvPr id="600" name="Rectangle 6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01" name="Rectangle 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02" name="Rectangle 6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03" name="Rectangle 6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04" name="Rectangle 6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05" name="Rectangle 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06" name="Rectangle 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07" name="Rectangle 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08" name="Rectangle 6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09" name="Rectangle 6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0" name="Rectangle 6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1" name="Rectangle 6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2" name="Rectangle 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3" name="Rectangle 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4" name="Rectangle 6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5" name="Rectangle 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6" name="Rectangle 6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7" name="Rectangle 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8" name="Rectangle 6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19" name="Rectangle 6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0" name="Rectangle 6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1" name="Rectangle 6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2" name="Rectangle 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3" name="Rectangle 6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4" name="Rectangle 6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5" name="Rectangle 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6" name="Rectangle 6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7" name="Rectangle 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8" name="Rectangle 6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29" name="Rectangle 6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0" name="Rectangle 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1" name="Rectangle 6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2" name="Rectangle 6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3" name="Rectangle 6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4" name="Rectangle 6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5" name="Rectangle 6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6" name="Rectangle 6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7" name="Rectangle 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8" name="Rectangle 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39" name="Rectangle 6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0" name="Rectangle 6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1" name="Rectangle 6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2" name="Rectangle 6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3" name="Rectangle 6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4" name="Rectangle 6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5" name="Rectangle 6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6" name="Rectangle 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7" name="Rectangle 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8" name="Rectangle 6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960"/>
    <xdr:sp macro="" textlink="">
      <xdr:nvSpPr>
        <xdr:cNvPr id="649" name="Rectangle 6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325"/>
    <xdr:sp macro="" textlink="">
      <xdr:nvSpPr>
        <xdr:cNvPr id="650" name="Rectangle 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325"/>
    <xdr:sp macro="" textlink="">
      <xdr:nvSpPr>
        <xdr:cNvPr id="651" name="Rectangle 6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325"/>
    <xdr:sp macro="" textlink="">
      <xdr:nvSpPr>
        <xdr:cNvPr id="652" name="Rectangle 6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666</xdr:row>
      <xdr:rowOff>0</xdr:rowOff>
    </xdr:from>
    <xdr:ext cx="342900" cy="441325"/>
    <xdr:sp macro="" textlink="">
      <xdr:nvSpPr>
        <xdr:cNvPr id="653" name="Rectangle 6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697</xdr:row>
      <xdr:rowOff>0</xdr:rowOff>
    </xdr:from>
    <xdr:ext cx="342900" cy="461010"/>
    <xdr:sp macro="" textlink="">
      <xdr:nvSpPr>
        <xdr:cNvPr id="654" name="Rectangle 6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697</xdr:row>
      <xdr:rowOff>0</xdr:rowOff>
    </xdr:from>
    <xdr:ext cx="342900" cy="461010"/>
    <xdr:sp macro="" textlink="">
      <xdr:nvSpPr>
        <xdr:cNvPr id="655" name="Rectangle 6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697</xdr:row>
      <xdr:rowOff>0</xdr:rowOff>
    </xdr:from>
    <xdr:ext cx="342900" cy="461010"/>
    <xdr:sp macro="" textlink="">
      <xdr:nvSpPr>
        <xdr:cNvPr id="656" name="Rectangle 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697</xdr:row>
      <xdr:rowOff>0</xdr:rowOff>
    </xdr:from>
    <xdr:ext cx="342900" cy="461010"/>
    <xdr:sp macro="" textlink="">
      <xdr:nvSpPr>
        <xdr:cNvPr id="657" name="Rectangle 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627</xdr:row>
      <xdr:rowOff>0</xdr:rowOff>
    </xdr:from>
    <xdr:ext cx="342900" cy="461010"/>
    <xdr:sp macro="" textlink="">
      <xdr:nvSpPr>
        <xdr:cNvPr id="658" name="Rectangle 6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627</xdr:row>
      <xdr:rowOff>0</xdr:rowOff>
    </xdr:from>
    <xdr:ext cx="342900" cy="461010"/>
    <xdr:sp macro="" textlink="">
      <xdr:nvSpPr>
        <xdr:cNvPr id="659" name="Rectangle 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627</xdr:row>
      <xdr:rowOff>0</xdr:rowOff>
    </xdr:from>
    <xdr:ext cx="342900" cy="461010"/>
    <xdr:sp macro="" textlink="">
      <xdr:nvSpPr>
        <xdr:cNvPr id="660" name="Rectangle 6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627</xdr:row>
      <xdr:rowOff>0</xdr:rowOff>
    </xdr:from>
    <xdr:ext cx="342900" cy="461010"/>
    <xdr:sp macro="" textlink="">
      <xdr:nvSpPr>
        <xdr:cNvPr id="661" name="Rectangle 6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5:J745"/>
  <sheetViews>
    <sheetView tabSelected="1" view="pageBreakPreview" topLeftCell="A674" zoomScale="120" zoomScaleNormal="100" zoomScaleSheetLayoutView="120" workbookViewId="0">
      <selection activeCell="D706" sqref="D706"/>
    </sheetView>
  </sheetViews>
  <sheetFormatPr baseColWidth="10" defaultColWidth="11.42578125" defaultRowHeight="13.5" x14ac:dyDescent="0.25"/>
  <cols>
    <col min="1" max="2" width="4.7109375" style="2" customWidth="1"/>
    <col min="3" max="3" width="2.42578125" style="1" customWidth="1"/>
    <col min="4" max="4" width="65.85546875" style="2" customWidth="1"/>
    <col min="5" max="6" width="13.7109375" style="3" customWidth="1"/>
    <col min="7" max="7" width="7.85546875" style="4" customWidth="1"/>
    <col min="8" max="8" width="1.85546875" style="2" customWidth="1"/>
    <col min="9" max="16384" width="11.42578125" style="2"/>
  </cols>
  <sheetData>
    <row r="15" ht="14.25" customHeight="1" x14ac:dyDescent="0.25"/>
    <row r="18" spans="3:10" ht="16.5" x14ac:dyDescent="0.3">
      <c r="C18" s="61" t="s">
        <v>0</v>
      </c>
      <c r="D18" s="61"/>
      <c r="E18" s="61"/>
      <c r="F18" s="61"/>
      <c r="G18" s="61"/>
    </row>
    <row r="19" spans="3:10" ht="6" customHeight="1" x14ac:dyDescent="0.25">
      <c r="J19" s="45"/>
    </row>
    <row r="20" spans="3:10" ht="12" customHeight="1" x14ac:dyDescent="0.25">
      <c r="C20" s="62" t="s">
        <v>1</v>
      </c>
      <c r="D20" s="63"/>
      <c r="E20" s="13" t="s">
        <v>35</v>
      </c>
      <c r="F20" s="14" t="s">
        <v>2</v>
      </c>
      <c r="G20" s="15" t="s">
        <v>3</v>
      </c>
    </row>
    <row r="21" spans="3:10" ht="12" customHeight="1" x14ac:dyDescent="0.25">
      <c r="C21" s="16" t="s">
        <v>46</v>
      </c>
      <c r="D21" s="17"/>
      <c r="E21" s="18"/>
      <c r="F21" s="19"/>
      <c r="G21" s="48"/>
    </row>
    <row r="22" spans="3:10" ht="12" customHeight="1" x14ac:dyDescent="0.25">
      <c r="C22" s="16"/>
      <c r="D22" s="17" t="s">
        <v>4</v>
      </c>
      <c r="E22" s="20">
        <v>105749585.98</v>
      </c>
      <c r="G22" s="35"/>
    </row>
    <row r="23" spans="3:10" ht="12" customHeight="1" x14ac:dyDescent="0.25">
      <c r="C23" s="16"/>
      <c r="D23" s="17" t="s">
        <v>5</v>
      </c>
      <c r="E23" s="6">
        <v>40118721.82</v>
      </c>
      <c r="G23" s="35"/>
    </row>
    <row r="24" spans="3:10" ht="12" customHeight="1" x14ac:dyDescent="0.25">
      <c r="C24" s="16"/>
      <c r="D24" s="17" t="s">
        <v>33</v>
      </c>
      <c r="E24" s="6">
        <v>267512.26</v>
      </c>
      <c r="F24" s="23"/>
      <c r="G24" s="35"/>
    </row>
    <row r="25" spans="3:10" ht="12" customHeight="1" x14ac:dyDescent="0.25">
      <c r="C25" s="16"/>
      <c r="D25" s="17" t="s">
        <v>6</v>
      </c>
      <c r="E25" s="6">
        <v>4043205.16</v>
      </c>
      <c r="F25" s="23"/>
      <c r="G25" s="35"/>
    </row>
    <row r="26" spans="3:10" ht="12" customHeight="1" x14ac:dyDescent="0.25">
      <c r="C26" s="16"/>
      <c r="D26" s="17" t="s">
        <v>7</v>
      </c>
      <c r="E26" s="6">
        <v>8810426.75</v>
      </c>
      <c r="F26" s="23"/>
      <c r="G26" s="35"/>
    </row>
    <row r="27" spans="3:10" ht="12" hidden="1" customHeight="1" x14ac:dyDescent="0.25">
      <c r="C27" s="16"/>
      <c r="D27" s="17" t="s">
        <v>31</v>
      </c>
      <c r="E27" s="6">
        <v>0</v>
      </c>
      <c r="F27" s="23"/>
      <c r="G27" s="35"/>
    </row>
    <row r="28" spans="3:10" ht="12" customHeight="1" x14ac:dyDescent="0.25">
      <c r="C28" s="16"/>
      <c r="D28" s="17" t="s">
        <v>32</v>
      </c>
      <c r="E28" s="6">
        <v>548260.27</v>
      </c>
      <c r="F28" s="23"/>
      <c r="G28" s="35"/>
    </row>
    <row r="29" spans="3:10" ht="12" customHeight="1" x14ac:dyDescent="0.25">
      <c r="C29" s="16"/>
      <c r="D29" s="17" t="s">
        <v>41</v>
      </c>
      <c r="E29" s="6">
        <v>21932670.800000001</v>
      </c>
      <c r="F29" s="23"/>
      <c r="G29" s="35"/>
    </row>
    <row r="30" spans="3:10" ht="12" customHeight="1" x14ac:dyDescent="0.25">
      <c r="C30" s="16"/>
      <c r="D30" s="17" t="s">
        <v>36</v>
      </c>
      <c r="E30" s="7">
        <v>37695477</v>
      </c>
      <c r="F30" s="12">
        <f>SUM(E22:E30)</f>
        <v>219165860.04000002</v>
      </c>
      <c r="G30" s="35">
        <f>+F30/F48</f>
        <v>0.72550270157444352</v>
      </c>
      <c r="J30" s="45">
        <f>72.55+0.13+27.32</f>
        <v>100</v>
      </c>
    </row>
    <row r="31" spans="3:10" ht="2.4500000000000002" customHeight="1" x14ac:dyDescent="0.25">
      <c r="C31" s="16"/>
      <c r="D31" s="17"/>
      <c r="E31" s="18"/>
      <c r="F31" s="22"/>
      <c r="G31" s="21"/>
    </row>
    <row r="32" spans="3:10" ht="12" hidden="1" customHeight="1" x14ac:dyDescent="0.25">
      <c r="C32" s="16" t="s">
        <v>34</v>
      </c>
      <c r="D32" s="32"/>
      <c r="E32" s="22"/>
      <c r="F32" s="18"/>
      <c r="G32" s="21"/>
    </row>
    <row r="33" spans="3:10" ht="12" hidden="1" customHeight="1" x14ac:dyDescent="0.25">
      <c r="C33" s="16"/>
      <c r="D33" s="33" t="s">
        <v>38</v>
      </c>
      <c r="E33" s="34"/>
      <c r="F33" s="6">
        <v>0</v>
      </c>
      <c r="G33" s="35">
        <f>+F33/F48</f>
        <v>0</v>
      </c>
    </row>
    <row r="34" spans="3:10" ht="12" customHeight="1" x14ac:dyDescent="0.25">
      <c r="C34" s="16" t="s">
        <v>47</v>
      </c>
      <c r="D34" s="32"/>
      <c r="E34" s="22"/>
      <c r="F34" s="23"/>
      <c r="G34" s="35"/>
    </row>
    <row r="35" spans="3:10" ht="12" customHeight="1" x14ac:dyDescent="0.25">
      <c r="C35" s="16"/>
      <c r="D35" s="17" t="s">
        <v>44</v>
      </c>
      <c r="F35" s="55">
        <v>401674.56</v>
      </c>
      <c r="G35" s="26">
        <f>+F35/F48</f>
        <v>1.3296595481638405E-3</v>
      </c>
    </row>
    <row r="36" spans="3:10" ht="12" hidden="1" customHeight="1" x14ac:dyDescent="0.25">
      <c r="C36" s="16"/>
      <c r="D36" s="17" t="s">
        <v>8</v>
      </c>
      <c r="E36" s="22">
        <v>0</v>
      </c>
      <c r="F36" s="24"/>
      <c r="G36" s="49"/>
    </row>
    <row r="37" spans="3:10" ht="12" hidden="1" customHeight="1" x14ac:dyDescent="0.25">
      <c r="C37" s="16"/>
      <c r="D37" s="17" t="s">
        <v>9</v>
      </c>
      <c r="E37" s="22">
        <v>0</v>
      </c>
      <c r="F37" s="2"/>
      <c r="G37" s="51"/>
    </row>
    <row r="38" spans="3:10" ht="12" hidden="1" customHeight="1" x14ac:dyDescent="0.25">
      <c r="C38" s="16"/>
      <c r="D38" s="17" t="s">
        <v>42</v>
      </c>
      <c r="E38" s="25">
        <v>0</v>
      </c>
      <c r="F38" s="25">
        <f>SUM(E35:E38)</f>
        <v>0</v>
      </c>
      <c r="G38" s="54"/>
    </row>
    <row r="39" spans="3:10" ht="12" customHeight="1" x14ac:dyDescent="0.25">
      <c r="C39" s="16"/>
      <c r="D39" s="27" t="s">
        <v>37</v>
      </c>
      <c r="E39" s="18"/>
      <c r="F39" s="28">
        <f>SUM(F22:F38)</f>
        <v>219567534.60000002</v>
      </c>
      <c r="G39" s="29">
        <f>+F39/F48</f>
        <v>0.72683236112260741</v>
      </c>
      <c r="J39" s="45">
        <f>72.68+27.32</f>
        <v>100</v>
      </c>
    </row>
    <row r="40" spans="3:10" ht="6" customHeight="1" x14ac:dyDescent="0.25">
      <c r="C40" s="16"/>
      <c r="D40" s="27"/>
      <c r="E40" s="18"/>
      <c r="F40" s="30"/>
      <c r="G40" s="31"/>
    </row>
    <row r="41" spans="3:10" ht="6" customHeight="1" x14ac:dyDescent="0.25">
      <c r="C41" s="16"/>
      <c r="D41" s="27"/>
      <c r="E41" s="18"/>
      <c r="F41" s="30"/>
      <c r="G41" s="31"/>
    </row>
    <row r="42" spans="3:10" ht="12" customHeight="1" x14ac:dyDescent="0.25">
      <c r="C42" s="16" t="s">
        <v>10</v>
      </c>
      <c r="D42" s="17"/>
      <c r="E42" s="18"/>
      <c r="F42" s="22"/>
      <c r="G42" s="21"/>
    </row>
    <row r="43" spans="3:10" ht="12" customHeight="1" x14ac:dyDescent="0.25">
      <c r="C43" s="16"/>
      <c r="D43" s="17" t="s">
        <v>11</v>
      </c>
      <c r="E43" s="12">
        <v>7229551.79</v>
      </c>
      <c r="F43" s="22"/>
      <c r="G43" s="21"/>
    </row>
    <row r="44" spans="3:10" ht="12" customHeight="1" x14ac:dyDescent="0.25">
      <c r="C44" s="16"/>
      <c r="D44" s="17" t="s">
        <v>12</v>
      </c>
      <c r="E44" s="7">
        <v>75291189.180000007</v>
      </c>
      <c r="F44" s="25">
        <f>SUM(E43:E44)</f>
        <v>82520740.970000014</v>
      </c>
      <c r="G44" s="36">
        <f>+F44/F48</f>
        <v>0.27316763887739254</v>
      </c>
    </row>
    <row r="45" spans="3:10" ht="2.25" hidden="1" customHeight="1" x14ac:dyDescent="0.25">
      <c r="C45" s="16"/>
      <c r="D45" s="32"/>
      <c r="E45" s="22"/>
      <c r="F45" s="18"/>
      <c r="G45" s="21"/>
    </row>
    <row r="46" spans="3:10" ht="12" hidden="1" customHeight="1" x14ac:dyDescent="0.25">
      <c r="C46" s="16"/>
      <c r="D46" s="27" t="s">
        <v>37</v>
      </c>
      <c r="E46" s="18"/>
      <c r="F46" s="28">
        <f>SUM(F44)</f>
        <v>82520740.970000014</v>
      </c>
      <c r="G46" s="29">
        <f>+G44</f>
        <v>0.27316763887739254</v>
      </c>
    </row>
    <row r="47" spans="3:10" ht="2.4500000000000002" hidden="1" customHeight="1" x14ac:dyDescent="0.25">
      <c r="C47" s="16"/>
      <c r="D47" s="32"/>
      <c r="E47" s="22"/>
      <c r="F47" s="18"/>
      <c r="G47" s="21"/>
    </row>
    <row r="48" spans="3:10" ht="13.5" customHeight="1" thickBot="1" x14ac:dyDescent="0.3">
      <c r="C48" s="16"/>
      <c r="D48" s="37" t="s">
        <v>13</v>
      </c>
      <c r="E48" s="22"/>
      <c r="F48" s="38">
        <f>+F39+F46</f>
        <v>302088275.57000005</v>
      </c>
      <c r="G48" s="39">
        <f>+G39+G46</f>
        <v>1</v>
      </c>
    </row>
    <row r="49" spans="3:10" ht="6" customHeight="1" thickTop="1" x14ac:dyDescent="0.25">
      <c r="C49" s="40"/>
      <c r="D49" s="41"/>
      <c r="E49" s="42"/>
      <c r="F49" s="42"/>
      <c r="G49" s="36"/>
    </row>
    <row r="51" spans="3:10" x14ac:dyDescent="0.25">
      <c r="C51" s="8"/>
      <c r="D51" s="9"/>
      <c r="E51" s="10"/>
      <c r="F51" s="10"/>
      <c r="G51" s="11"/>
    </row>
    <row r="52" spans="3:10" ht="16.5" x14ac:dyDescent="0.3">
      <c r="C52" s="61" t="s">
        <v>14</v>
      </c>
      <c r="D52" s="61"/>
      <c r="E52" s="61"/>
      <c r="F52" s="61"/>
      <c r="G52" s="61"/>
    </row>
    <row r="53" spans="3:10" ht="6" customHeight="1" x14ac:dyDescent="0.25"/>
    <row r="54" spans="3:10" ht="12" customHeight="1" x14ac:dyDescent="0.25">
      <c r="C54" s="62" t="s">
        <v>1</v>
      </c>
      <c r="D54" s="63"/>
      <c r="E54" s="13" t="s">
        <v>35</v>
      </c>
      <c r="F54" s="14" t="s">
        <v>2</v>
      </c>
      <c r="G54" s="15" t="s">
        <v>3</v>
      </c>
    </row>
    <row r="55" spans="3:10" ht="12" customHeight="1" x14ac:dyDescent="0.25">
      <c r="C55" s="16" t="s">
        <v>46</v>
      </c>
      <c r="D55" s="17"/>
      <c r="E55" s="18"/>
      <c r="F55" s="19"/>
      <c r="G55" s="48"/>
    </row>
    <row r="56" spans="3:10" ht="12" customHeight="1" x14ac:dyDescent="0.25">
      <c r="C56" s="16"/>
      <c r="D56" s="17" t="s">
        <v>4</v>
      </c>
      <c r="E56" s="20">
        <v>10275495.34</v>
      </c>
      <c r="G56" s="35"/>
    </row>
    <row r="57" spans="3:10" ht="12" customHeight="1" x14ac:dyDescent="0.25">
      <c r="C57" s="16"/>
      <c r="D57" s="17" t="s">
        <v>5</v>
      </c>
      <c r="E57" s="6">
        <v>3789126.1</v>
      </c>
      <c r="G57" s="35"/>
    </row>
    <row r="58" spans="3:10" ht="12" customHeight="1" x14ac:dyDescent="0.25">
      <c r="C58" s="16"/>
      <c r="D58" s="17" t="s">
        <v>33</v>
      </c>
      <c r="E58" s="6">
        <v>448163.03</v>
      </c>
      <c r="F58" s="23"/>
      <c r="G58" s="35"/>
    </row>
    <row r="59" spans="3:10" ht="12" customHeight="1" x14ac:dyDescent="0.25">
      <c r="C59" s="16"/>
      <c r="D59" s="17" t="s">
        <v>6</v>
      </c>
      <c r="E59" s="6">
        <v>406726.22</v>
      </c>
      <c r="F59" s="23"/>
      <c r="G59" s="35"/>
    </row>
    <row r="60" spans="3:10" ht="12" customHeight="1" x14ac:dyDescent="0.25">
      <c r="C60" s="16"/>
      <c r="D60" s="17" t="s">
        <v>7</v>
      </c>
      <c r="E60" s="6">
        <v>510610.41</v>
      </c>
      <c r="F60" s="23"/>
      <c r="G60" s="35"/>
    </row>
    <row r="61" spans="3:10" ht="12" hidden="1" customHeight="1" x14ac:dyDescent="0.25">
      <c r="C61" s="16"/>
      <c r="D61" s="17" t="s">
        <v>31</v>
      </c>
      <c r="E61" s="6">
        <v>0</v>
      </c>
      <c r="F61" s="23"/>
      <c r="G61" s="35"/>
    </row>
    <row r="62" spans="3:10" ht="12" customHeight="1" x14ac:dyDescent="0.25">
      <c r="C62" s="16"/>
      <c r="D62" s="17" t="s">
        <v>32</v>
      </c>
      <c r="E62" s="6">
        <v>88018.9</v>
      </c>
      <c r="F62" s="23"/>
      <c r="G62" s="35"/>
    </row>
    <row r="63" spans="3:10" ht="12" customHeight="1" x14ac:dyDescent="0.25">
      <c r="C63" s="16"/>
      <c r="D63" s="17" t="s">
        <v>41</v>
      </c>
      <c r="E63" s="6">
        <v>2714718.5</v>
      </c>
      <c r="F63" s="23"/>
      <c r="G63" s="35"/>
      <c r="J63" s="45">
        <f>65.5+0.02+34.48</f>
        <v>100</v>
      </c>
    </row>
    <row r="64" spans="3:10" ht="12" customHeight="1" x14ac:dyDescent="0.25">
      <c r="C64" s="16"/>
      <c r="D64" s="17" t="s">
        <v>36</v>
      </c>
      <c r="E64" s="7">
        <v>2098161</v>
      </c>
      <c r="F64" s="12">
        <f>SUM(E56:E64)</f>
        <v>20331019.5</v>
      </c>
      <c r="G64" s="35">
        <f>+F64/F82</f>
        <v>0.65500729456448936</v>
      </c>
    </row>
    <row r="65" spans="3:10" ht="2.4500000000000002" customHeight="1" x14ac:dyDescent="0.25">
      <c r="C65" s="16"/>
      <c r="D65" s="17"/>
      <c r="E65" s="18"/>
      <c r="F65" s="22"/>
      <c r="G65" s="21"/>
    </row>
    <row r="66" spans="3:10" ht="12" hidden="1" customHeight="1" x14ac:dyDescent="0.25">
      <c r="C66" s="16" t="s">
        <v>34</v>
      </c>
      <c r="D66" s="32"/>
      <c r="E66" s="22"/>
      <c r="F66" s="18"/>
      <c r="G66" s="21"/>
    </row>
    <row r="67" spans="3:10" ht="12" hidden="1" customHeight="1" x14ac:dyDescent="0.25">
      <c r="C67" s="16"/>
      <c r="D67" s="33" t="s">
        <v>38</v>
      </c>
      <c r="E67" s="34"/>
      <c r="F67" s="6">
        <v>0</v>
      </c>
      <c r="G67" s="35">
        <f>+F67/F82</f>
        <v>0</v>
      </c>
    </row>
    <row r="68" spans="3:10" ht="12" customHeight="1" x14ac:dyDescent="0.25">
      <c r="C68" s="16" t="s">
        <v>47</v>
      </c>
      <c r="D68" s="32"/>
      <c r="E68" s="22"/>
      <c r="F68" s="23"/>
      <c r="G68" s="35"/>
    </row>
    <row r="69" spans="3:10" ht="12" customHeight="1" x14ac:dyDescent="0.25">
      <c r="C69" s="16"/>
      <c r="D69" s="17" t="s">
        <v>44</v>
      </c>
      <c r="F69" s="7">
        <v>4958.63</v>
      </c>
      <c r="G69" s="26">
        <f>+F69/F82</f>
        <v>1.5975287520856067E-4</v>
      </c>
    </row>
    <row r="70" spans="3:10" ht="12" hidden="1" customHeight="1" x14ac:dyDescent="0.25">
      <c r="C70" s="16"/>
      <c r="D70" s="17" t="s">
        <v>8</v>
      </c>
      <c r="E70" s="22">
        <v>0</v>
      </c>
      <c r="F70" s="24"/>
      <c r="G70" s="49"/>
    </row>
    <row r="71" spans="3:10" ht="12" hidden="1" customHeight="1" x14ac:dyDescent="0.25">
      <c r="C71" s="16"/>
      <c r="D71" s="17" t="s">
        <v>9</v>
      </c>
      <c r="E71" s="25">
        <v>0</v>
      </c>
    </row>
    <row r="72" spans="3:10" ht="12" hidden="1" customHeight="1" x14ac:dyDescent="0.25">
      <c r="C72" s="16"/>
      <c r="D72" s="17" t="s">
        <v>42</v>
      </c>
      <c r="E72" s="25">
        <v>0</v>
      </c>
    </row>
    <row r="73" spans="3:10" ht="12" customHeight="1" x14ac:dyDescent="0.25">
      <c r="C73" s="16"/>
      <c r="D73" s="27" t="s">
        <v>37</v>
      </c>
      <c r="E73" s="18"/>
      <c r="F73" s="28">
        <f>SUM(F56:F70)</f>
        <v>20335978.129999999</v>
      </c>
      <c r="G73" s="29">
        <f>+F73/F82</f>
        <v>0.65516704743969789</v>
      </c>
      <c r="J73" s="45">
        <f>65.52+34.48</f>
        <v>100</v>
      </c>
    </row>
    <row r="74" spans="3:10" ht="6" customHeight="1" x14ac:dyDescent="0.25">
      <c r="C74" s="16"/>
      <c r="D74" s="27"/>
      <c r="E74" s="18"/>
      <c r="F74" s="30"/>
      <c r="G74" s="31"/>
    </row>
    <row r="75" spans="3:10" ht="6" customHeight="1" x14ac:dyDescent="0.25">
      <c r="C75" s="16"/>
      <c r="D75" s="27"/>
      <c r="E75" s="18"/>
      <c r="F75" s="30"/>
      <c r="G75" s="31"/>
    </row>
    <row r="76" spans="3:10" ht="12" customHeight="1" x14ac:dyDescent="0.25">
      <c r="C76" s="16" t="s">
        <v>10</v>
      </c>
      <c r="D76" s="17"/>
      <c r="E76" s="18"/>
      <c r="F76" s="22"/>
      <c r="G76" s="21"/>
    </row>
    <row r="77" spans="3:10" ht="12" customHeight="1" x14ac:dyDescent="0.25">
      <c r="C77" s="16"/>
      <c r="D77" s="17" t="s">
        <v>11</v>
      </c>
      <c r="E77" s="12">
        <v>3911851.69</v>
      </c>
      <c r="F77" s="22"/>
      <c r="G77" s="21"/>
    </row>
    <row r="78" spans="3:10" ht="12" customHeight="1" x14ac:dyDescent="0.25">
      <c r="C78" s="16"/>
      <c r="D78" s="17" t="s">
        <v>12</v>
      </c>
      <c r="E78" s="7">
        <v>6791548.9299999997</v>
      </c>
      <c r="F78" s="25">
        <f>SUM(E77:E78)</f>
        <v>10703400.619999999</v>
      </c>
      <c r="G78" s="36">
        <f>+F78/F82</f>
        <v>0.34483295256030211</v>
      </c>
    </row>
    <row r="79" spans="3:10" ht="2.25" hidden="1" customHeight="1" x14ac:dyDescent="0.25">
      <c r="C79" s="16"/>
      <c r="D79" s="32"/>
      <c r="E79" s="22"/>
      <c r="F79" s="18"/>
      <c r="G79" s="21"/>
    </row>
    <row r="80" spans="3:10" ht="12" hidden="1" customHeight="1" x14ac:dyDescent="0.25">
      <c r="C80" s="16"/>
      <c r="D80" s="27" t="s">
        <v>37</v>
      </c>
      <c r="E80" s="18"/>
      <c r="F80" s="28">
        <f>SUM(F78)</f>
        <v>10703400.619999999</v>
      </c>
      <c r="G80" s="29">
        <f>+G78</f>
        <v>0.34483295256030211</v>
      </c>
    </row>
    <row r="81" spans="3:7" ht="2.4500000000000002" hidden="1" customHeight="1" x14ac:dyDescent="0.25">
      <c r="C81" s="16"/>
      <c r="D81" s="32"/>
      <c r="E81" s="22"/>
      <c r="F81" s="18"/>
      <c r="G81" s="21"/>
    </row>
    <row r="82" spans="3:7" ht="13.5" customHeight="1" thickBot="1" x14ac:dyDescent="0.3">
      <c r="C82" s="16"/>
      <c r="D82" s="37" t="s">
        <v>13</v>
      </c>
      <c r="E82" s="22"/>
      <c r="F82" s="38">
        <f>+F73+F80</f>
        <v>31039378.75</v>
      </c>
      <c r="G82" s="39">
        <f>+G73+G80</f>
        <v>1</v>
      </c>
    </row>
    <row r="83" spans="3:7" ht="6" customHeight="1" thickTop="1" x14ac:dyDescent="0.25">
      <c r="C83" s="40"/>
      <c r="D83" s="41"/>
      <c r="E83" s="42"/>
      <c r="F83" s="42"/>
      <c r="G83" s="36"/>
    </row>
    <row r="84" spans="3:7" ht="12.75" customHeight="1" x14ac:dyDescent="0.25">
      <c r="C84" s="52"/>
      <c r="D84" s="32"/>
      <c r="E84" s="44"/>
      <c r="F84" s="44"/>
      <c r="G84" s="53"/>
    </row>
    <row r="85" spans="3:7" x14ac:dyDescent="0.25">
      <c r="D85" s="2" t="s">
        <v>45</v>
      </c>
      <c r="F85" s="2"/>
    </row>
    <row r="86" spans="3:7" ht="16.5" x14ac:dyDescent="0.3">
      <c r="C86" s="61" t="s">
        <v>15</v>
      </c>
      <c r="D86" s="61"/>
      <c r="E86" s="61"/>
      <c r="F86" s="61"/>
      <c r="G86" s="61"/>
    </row>
    <row r="87" spans="3:7" ht="6" customHeight="1" x14ac:dyDescent="0.25"/>
    <row r="88" spans="3:7" ht="12" customHeight="1" x14ac:dyDescent="0.25">
      <c r="C88" s="62" t="s">
        <v>1</v>
      </c>
      <c r="D88" s="63"/>
      <c r="E88" s="13" t="s">
        <v>35</v>
      </c>
      <c r="F88" s="14" t="s">
        <v>2</v>
      </c>
      <c r="G88" s="15" t="s">
        <v>3</v>
      </c>
    </row>
    <row r="89" spans="3:7" ht="12" customHeight="1" x14ac:dyDescent="0.25">
      <c r="C89" s="16" t="s">
        <v>46</v>
      </c>
      <c r="D89" s="17"/>
      <c r="E89" s="18"/>
      <c r="F89" s="19"/>
      <c r="G89" s="48"/>
    </row>
    <row r="90" spans="3:7" ht="12" customHeight="1" x14ac:dyDescent="0.25">
      <c r="C90" s="16"/>
      <c r="D90" s="17" t="s">
        <v>4</v>
      </c>
      <c r="E90" s="20">
        <v>6616725.7199999997</v>
      </c>
      <c r="G90" s="35"/>
    </row>
    <row r="91" spans="3:7" ht="12" customHeight="1" x14ac:dyDescent="0.25">
      <c r="C91" s="16"/>
      <c r="D91" s="17" t="s">
        <v>5</v>
      </c>
      <c r="E91" s="6">
        <v>2479735.61</v>
      </c>
      <c r="G91" s="35"/>
    </row>
    <row r="92" spans="3:7" ht="12" customHeight="1" x14ac:dyDescent="0.25">
      <c r="C92" s="16"/>
      <c r="D92" s="17" t="s">
        <v>33</v>
      </c>
      <c r="E92" s="6">
        <v>558476.38</v>
      </c>
      <c r="F92" s="23"/>
      <c r="G92" s="35"/>
    </row>
    <row r="93" spans="3:7" ht="12" customHeight="1" x14ac:dyDescent="0.25">
      <c r="C93" s="16"/>
      <c r="D93" s="17" t="s">
        <v>6</v>
      </c>
      <c r="E93" s="6">
        <v>122785.61</v>
      </c>
      <c r="F93" s="23"/>
      <c r="G93" s="35"/>
    </row>
    <row r="94" spans="3:7" ht="12" customHeight="1" x14ac:dyDescent="0.25">
      <c r="C94" s="16"/>
      <c r="D94" s="17" t="s">
        <v>7</v>
      </c>
      <c r="E94" s="6">
        <v>149458.99</v>
      </c>
      <c r="F94" s="23"/>
      <c r="G94" s="35"/>
    </row>
    <row r="95" spans="3:7" ht="12" hidden="1" customHeight="1" x14ac:dyDescent="0.25">
      <c r="C95" s="16"/>
      <c r="D95" s="17" t="s">
        <v>31</v>
      </c>
      <c r="E95" s="6">
        <v>0</v>
      </c>
      <c r="F95" s="23"/>
      <c r="G95" s="35"/>
    </row>
    <row r="96" spans="3:7" ht="12" customHeight="1" x14ac:dyDescent="0.25">
      <c r="C96" s="16"/>
      <c r="D96" s="17" t="s">
        <v>32</v>
      </c>
      <c r="E96" s="6">
        <v>56890.48</v>
      </c>
      <c r="F96" s="23"/>
      <c r="G96" s="35"/>
    </row>
    <row r="97" spans="3:10" ht="12" customHeight="1" x14ac:dyDescent="0.25">
      <c r="C97" s="16"/>
      <c r="D97" s="17" t="s">
        <v>41</v>
      </c>
      <c r="E97" s="6">
        <v>1638876.73</v>
      </c>
      <c r="F97" s="23"/>
      <c r="G97" s="35"/>
    </row>
    <row r="98" spans="3:10" ht="12" customHeight="1" x14ac:dyDescent="0.25">
      <c r="C98" s="16"/>
      <c r="D98" s="17" t="s">
        <v>36</v>
      </c>
      <c r="E98" s="7">
        <v>1188038</v>
      </c>
      <c r="F98" s="12">
        <f>SUM(E90:E98)</f>
        <v>12810987.520000001</v>
      </c>
      <c r="G98" s="35">
        <f>+F98/F116+0.0001</f>
        <v>0.7973360769705814</v>
      </c>
      <c r="J98" s="45">
        <f>79.73+2.2+18.07</f>
        <v>100</v>
      </c>
    </row>
    <row r="99" spans="3:10" ht="2.4500000000000002" customHeight="1" x14ac:dyDescent="0.25">
      <c r="C99" s="16"/>
      <c r="D99" s="17"/>
      <c r="E99" s="18"/>
      <c r="F99" s="22"/>
      <c r="G99" s="21"/>
    </row>
    <row r="100" spans="3:10" ht="12" hidden="1" customHeight="1" x14ac:dyDescent="0.25">
      <c r="C100" s="16" t="s">
        <v>34</v>
      </c>
      <c r="D100" s="32"/>
      <c r="E100" s="22"/>
      <c r="F100" s="18"/>
      <c r="G100" s="21"/>
    </row>
    <row r="101" spans="3:10" ht="12" hidden="1" customHeight="1" x14ac:dyDescent="0.25">
      <c r="C101" s="16"/>
      <c r="D101" s="33" t="s">
        <v>38</v>
      </c>
      <c r="E101" s="34"/>
      <c r="F101" s="6">
        <v>0</v>
      </c>
      <c r="G101" s="35">
        <f>+F101/F116</f>
        <v>0</v>
      </c>
    </row>
    <row r="102" spans="3:10" ht="14.25" customHeight="1" x14ac:dyDescent="0.25">
      <c r="C102" s="16" t="s">
        <v>47</v>
      </c>
      <c r="D102" s="32"/>
      <c r="E102" s="22"/>
      <c r="F102" s="23"/>
      <c r="G102" s="35"/>
    </row>
    <row r="103" spans="3:10" ht="12" customHeight="1" x14ac:dyDescent="0.25">
      <c r="C103" s="16"/>
      <c r="D103" s="17" t="s">
        <v>44</v>
      </c>
      <c r="E103" s="12">
        <v>1062.3499999999999</v>
      </c>
      <c r="F103" s="6"/>
      <c r="G103" s="5"/>
    </row>
    <row r="104" spans="3:10" ht="12" hidden="1" customHeight="1" x14ac:dyDescent="0.25">
      <c r="C104" s="16"/>
      <c r="D104" s="17" t="s">
        <v>8</v>
      </c>
      <c r="E104" s="22">
        <v>0</v>
      </c>
      <c r="F104" s="24"/>
      <c r="G104" s="49"/>
    </row>
    <row r="105" spans="3:10" ht="12" customHeight="1" x14ac:dyDescent="0.25">
      <c r="C105" s="16"/>
      <c r="D105" s="17" t="s">
        <v>9</v>
      </c>
      <c r="E105" s="25">
        <v>352858.37</v>
      </c>
      <c r="F105" s="25">
        <f>SUM(E103:E105)</f>
        <v>353920.72</v>
      </c>
      <c r="G105" s="26">
        <f>+F105/F116</f>
        <v>2.2024716356245703E-2</v>
      </c>
    </row>
    <row r="106" spans="3:10" ht="12" hidden="1" customHeight="1" x14ac:dyDescent="0.25">
      <c r="C106" s="16"/>
      <c r="D106" s="17" t="s">
        <v>42</v>
      </c>
      <c r="E106" s="25">
        <v>0</v>
      </c>
    </row>
    <row r="107" spans="3:10" ht="12" customHeight="1" x14ac:dyDescent="0.25">
      <c r="C107" s="16"/>
      <c r="D107" s="27" t="s">
        <v>37</v>
      </c>
      <c r="E107" s="18"/>
      <c r="F107" s="28">
        <f>SUM(F90:F105)</f>
        <v>13164908.240000002</v>
      </c>
      <c r="G107" s="29">
        <f>+F107/F116</f>
        <v>0.81926079332682722</v>
      </c>
      <c r="J107" s="45">
        <f>81.93+18.07</f>
        <v>100</v>
      </c>
    </row>
    <row r="108" spans="3:10" ht="6" customHeight="1" x14ac:dyDescent="0.25">
      <c r="C108" s="16"/>
      <c r="D108" s="27"/>
      <c r="E108" s="18"/>
      <c r="F108" s="30"/>
      <c r="G108" s="31"/>
    </row>
    <row r="109" spans="3:10" ht="6" customHeight="1" x14ac:dyDescent="0.25">
      <c r="C109" s="16"/>
      <c r="D109" s="27"/>
      <c r="E109" s="18"/>
      <c r="F109" s="30"/>
      <c r="G109" s="31"/>
    </row>
    <row r="110" spans="3:10" ht="12" customHeight="1" x14ac:dyDescent="0.25">
      <c r="C110" s="16" t="s">
        <v>10</v>
      </c>
      <c r="D110" s="17"/>
      <c r="E110" s="18"/>
      <c r="F110" s="22"/>
      <c r="G110" s="21"/>
    </row>
    <row r="111" spans="3:10" ht="12" customHeight="1" x14ac:dyDescent="0.25">
      <c r="C111" s="16"/>
      <c r="D111" s="17" t="s">
        <v>11</v>
      </c>
      <c r="E111" s="12">
        <v>747045.43</v>
      </c>
      <c r="F111" s="22"/>
      <c r="G111" s="21"/>
    </row>
    <row r="112" spans="3:10" ht="12" customHeight="1" x14ac:dyDescent="0.25">
      <c r="C112" s="16"/>
      <c r="D112" s="17" t="s">
        <v>12</v>
      </c>
      <c r="E112" s="7">
        <v>2157298.4500000002</v>
      </c>
      <c r="F112" s="25">
        <f>SUM(E111:E112)</f>
        <v>2904343.8800000004</v>
      </c>
      <c r="G112" s="36">
        <f>+F112/F116</f>
        <v>0.18073920667317278</v>
      </c>
    </row>
    <row r="113" spans="3:10" ht="2.25" hidden="1" customHeight="1" x14ac:dyDescent="0.25">
      <c r="C113" s="16"/>
      <c r="D113" s="32"/>
      <c r="E113" s="22"/>
      <c r="F113" s="18"/>
      <c r="G113" s="21"/>
    </row>
    <row r="114" spans="3:10" ht="12" hidden="1" customHeight="1" x14ac:dyDescent="0.25">
      <c r="C114" s="16"/>
      <c r="D114" s="27" t="s">
        <v>37</v>
      </c>
      <c r="E114" s="18"/>
      <c r="F114" s="28">
        <f>SUM(F112)</f>
        <v>2904343.8800000004</v>
      </c>
      <c r="G114" s="29">
        <f>+G112</f>
        <v>0.18073920667317278</v>
      </c>
    </row>
    <row r="115" spans="3:10" ht="2.4500000000000002" hidden="1" customHeight="1" x14ac:dyDescent="0.25">
      <c r="C115" s="16"/>
      <c r="D115" s="32"/>
      <c r="E115" s="22"/>
      <c r="F115" s="18"/>
      <c r="G115" s="21"/>
    </row>
    <row r="116" spans="3:10" ht="13.5" customHeight="1" thickBot="1" x14ac:dyDescent="0.3">
      <c r="C116" s="16"/>
      <c r="D116" s="37" t="s">
        <v>13</v>
      </c>
      <c r="E116" s="22"/>
      <c r="F116" s="38">
        <f>+F107+F114</f>
        <v>16069252.120000003</v>
      </c>
      <c r="G116" s="39">
        <f>+G107+G114</f>
        <v>1</v>
      </c>
    </row>
    <row r="117" spans="3:10" ht="6" customHeight="1" thickTop="1" x14ac:dyDescent="0.25">
      <c r="C117" s="40"/>
      <c r="D117" s="41"/>
      <c r="E117" s="42"/>
      <c r="F117" s="42"/>
      <c r="G117" s="36"/>
    </row>
    <row r="118" spans="3:10" x14ac:dyDescent="0.25">
      <c r="C118" s="8"/>
      <c r="D118" s="9"/>
      <c r="E118" s="10"/>
      <c r="F118" s="10"/>
      <c r="G118" s="11"/>
    </row>
    <row r="119" spans="3:10" x14ac:dyDescent="0.25">
      <c r="C119" s="8"/>
      <c r="D119" s="9"/>
      <c r="E119" s="10"/>
      <c r="F119" s="10"/>
      <c r="G119" s="11"/>
    </row>
    <row r="120" spans="3:10" ht="16.5" x14ac:dyDescent="0.3">
      <c r="C120" s="61" t="s">
        <v>16</v>
      </c>
      <c r="D120" s="61"/>
      <c r="E120" s="61"/>
      <c r="F120" s="61"/>
      <c r="G120" s="61"/>
    </row>
    <row r="121" spans="3:10" ht="6" customHeight="1" x14ac:dyDescent="0.25"/>
    <row r="122" spans="3:10" ht="12" customHeight="1" x14ac:dyDescent="0.25">
      <c r="C122" s="62" t="s">
        <v>1</v>
      </c>
      <c r="D122" s="63"/>
      <c r="E122" s="13" t="s">
        <v>35</v>
      </c>
      <c r="F122" s="14" t="s">
        <v>2</v>
      </c>
      <c r="G122" s="15" t="s">
        <v>3</v>
      </c>
    </row>
    <row r="123" spans="3:10" ht="12" customHeight="1" x14ac:dyDescent="0.25">
      <c r="C123" s="16" t="s">
        <v>46</v>
      </c>
      <c r="D123" s="17"/>
      <c r="E123" s="18"/>
      <c r="F123" s="19"/>
      <c r="G123" s="48"/>
    </row>
    <row r="124" spans="3:10" ht="12" customHeight="1" x14ac:dyDescent="0.25">
      <c r="C124" s="16"/>
      <c r="D124" s="17" t="s">
        <v>4</v>
      </c>
      <c r="E124" s="20">
        <v>7191043.6299999999</v>
      </c>
      <c r="G124" s="35"/>
    </row>
    <row r="125" spans="3:10" ht="12" customHeight="1" x14ac:dyDescent="0.25">
      <c r="C125" s="16"/>
      <c r="D125" s="17" t="s">
        <v>5</v>
      </c>
      <c r="E125" s="6">
        <v>2607609.3199999998</v>
      </c>
      <c r="G125" s="35"/>
    </row>
    <row r="126" spans="3:10" ht="12" customHeight="1" x14ac:dyDescent="0.25">
      <c r="C126" s="16"/>
      <c r="D126" s="17" t="s">
        <v>33</v>
      </c>
      <c r="E126" s="6">
        <v>541271.54</v>
      </c>
      <c r="F126" s="23"/>
      <c r="G126" s="35"/>
      <c r="J126" s="45"/>
    </row>
    <row r="127" spans="3:10" ht="12" customHeight="1" x14ac:dyDescent="0.25">
      <c r="C127" s="16"/>
      <c r="D127" s="17" t="s">
        <v>6</v>
      </c>
      <c r="E127" s="6">
        <v>167383.25</v>
      </c>
      <c r="F127" s="23"/>
      <c r="G127" s="35"/>
    </row>
    <row r="128" spans="3:10" ht="12" customHeight="1" x14ac:dyDescent="0.25">
      <c r="C128" s="16"/>
      <c r="D128" s="17" t="s">
        <v>7</v>
      </c>
      <c r="E128" s="6">
        <v>206501.25</v>
      </c>
      <c r="F128" s="23"/>
      <c r="G128" s="35"/>
    </row>
    <row r="129" spans="3:10" ht="12" hidden="1" customHeight="1" x14ac:dyDescent="0.25">
      <c r="C129" s="16"/>
      <c r="D129" s="17" t="s">
        <v>31</v>
      </c>
      <c r="E129" s="6">
        <v>0</v>
      </c>
      <c r="F129" s="23"/>
      <c r="G129" s="35"/>
    </row>
    <row r="130" spans="3:10" ht="12" customHeight="1" x14ac:dyDescent="0.25">
      <c r="C130" s="16"/>
      <c r="D130" s="17" t="s">
        <v>32</v>
      </c>
      <c r="E130" s="6">
        <v>74582.259999999995</v>
      </c>
      <c r="G130" s="5"/>
      <c r="J130" s="45">
        <f>76.42+0.93+22.65</f>
        <v>100</v>
      </c>
    </row>
    <row r="131" spans="3:10" ht="12" customHeight="1" x14ac:dyDescent="0.25">
      <c r="C131" s="16"/>
      <c r="D131" s="17" t="s">
        <v>41</v>
      </c>
      <c r="E131" s="6">
        <v>2189661.21</v>
      </c>
      <c r="G131" s="5"/>
    </row>
    <row r="132" spans="3:10" ht="12" customHeight="1" x14ac:dyDescent="0.25">
      <c r="C132" s="16"/>
      <c r="D132" s="17" t="s">
        <v>36</v>
      </c>
      <c r="E132" s="7">
        <v>29176</v>
      </c>
      <c r="F132" s="12">
        <f>SUM(E124:E132)</f>
        <v>13007228.459999997</v>
      </c>
      <c r="G132" s="35">
        <f>+F132/F150</f>
        <v>0.76422197416502125</v>
      </c>
    </row>
    <row r="133" spans="3:10" ht="2.4500000000000002" customHeight="1" x14ac:dyDescent="0.25">
      <c r="C133" s="16"/>
      <c r="D133" s="17"/>
      <c r="E133" s="18"/>
      <c r="F133" s="22"/>
      <c r="G133" s="21"/>
    </row>
    <row r="134" spans="3:10" ht="12" hidden="1" customHeight="1" x14ac:dyDescent="0.25">
      <c r="C134" s="16" t="s">
        <v>34</v>
      </c>
      <c r="D134" s="32"/>
      <c r="E134" s="22"/>
      <c r="F134" s="18"/>
      <c r="G134" s="21"/>
    </row>
    <row r="135" spans="3:10" ht="12" hidden="1" customHeight="1" x14ac:dyDescent="0.25">
      <c r="C135" s="16"/>
      <c r="D135" s="33" t="s">
        <v>38</v>
      </c>
      <c r="E135" s="34"/>
      <c r="F135" s="6">
        <v>0</v>
      </c>
      <c r="G135" s="35">
        <f>+F135/F150</f>
        <v>0</v>
      </c>
    </row>
    <row r="136" spans="3:10" ht="12" customHeight="1" x14ac:dyDescent="0.25">
      <c r="C136" s="16" t="s">
        <v>47</v>
      </c>
      <c r="D136" s="32"/>
      <c r="E136" s="22"/>
      <c r="F136" s="23"/>
      <c r="G136" s="35"/>
    </row>
    <row r="137" spans="3:10" ht="12" customHeight="1" x14ac:dyDescent="0.25">
      <c r="C137" s="16"/>
      <c r="D137" s="17" t="s">
        <v>44</v>
      </c>
      <c r="E137" s="12">
        <v>10607.27</v>
      </c>
      <c r="F137" s="6"/>
      <c r="G137" s="5"/>
    </row>
    <row r="138" spans="3:10" ht="12" hidden="1" customHeight="1" x14ac:dyDescent="0.25">
      <c r="C138" s="16"/>
      <c r="D138" s="17" t="s">
        <v>8</v>
      </c>
      <c r="E138" s="22">
        <v>0</v>
      </c>
      <c r="F138" s="24"/>
      <c r="G138" s="49"/>
    </row>
    <row r="139" spans="3:10" ht="12" customHeight="1" x14ac:dyDescent="0.25">
      <c r="C139" s="16"/>
      <c r="D139" s="17" t="s">
        <v>9</v>
      </c>
      <c r="E139" s="25">
        <v>146517.32999999999</v>
      </c>
      <c r="F139" s="25">
        <f>SUM(E137:E140)</f>
        <v>157124.59999999998</v>
      </c>
      <c r="G139" s="26">
        <f>+F139/F150+0.0001</f>
        <v>9.3316416499606321E-3</v>
      </c>
    </row>
    <row r="140" spans="3:10" ht="12" hidden="1" customHeight="1" x14ac:dyDescent="0.25">
      <c r="C140" s="16"/>
      <c r="D140" s="17" t="s">
        <v>42</v>
      </c>
      <c r="E140" s="25">
        <v>0</v>
      </c>
    </row>
    <row r="141" spans="3:10" ht="12" customHeight="1" x14ac:dyDescent="0.25">
      <c r="C141" s="16"/>
      <c r="D141" s="27" t="s">
        <v>37</v>
      </c>
      <c r="E141" s="18"/>
      <c r="F141" s="28">
        <f>SUM(F124:F139)</f>
        <v>13164353.059999997</v>
      </c>
      <c r="G141" s="29">
        <f>+F141/F150</f>
        <v>0.77345361581498184</v>
      </c>
      <c r="J141" s="45">
        <f>77.35+22.65</f>
        <v>100</v>
      </c>
    </row>
    <row r="142" spans="3:10" ht="6" customHeight="1" x14ac:dyDescent="0.25">
      <c r="C142" s="16"/>
      <c r="D142" s="27"/>
      <c r="E142" s="18"/>
      <c r="F142" s="30"/>
      <c r="G142" s="31"/>
    </row>
    <row r="143" spans="3:10" ht="6" customHeight="1" x14ac:dyDescent="0.25">
      <c r="C143" s="16"/>
      <c r="D143" s="27"/>
      <c r="E143" s="18"/>
      <c r="F143" s="30"/>
      <c r="G143" s="31"/>
    </row>
    <row r="144" spans="3:10" ht="12" customHeight="1" x14ac:dyDescent="0.25">
      <c r="C144" s="16" t="s">
        <v>10</v>
      </c>
      <c r="D144" s="17"/>
      <c r="E144" s="18"/>
      <c r="F144" s="22"/>
      <c r="G144" s="21"/>
    </row>
    <row r="145" spans="3:10" ht="12" customHeight="1" x14ac:dyDescent="0.25">
      <c r="C145" s="16"/>
      <c r="D145" s="17" t="s">
        <v>11</v>
      </c>
      <c r="E145" s="12">
        <v>951863.47</v>
      </c>
      <c r="F145" s="22"/>
      <c r="G145" s="21"/>
    </row>
    <row r="146" spans="3:10" ht="12" customHeight="1" x14ac:dyDescent="0.25">
      <c r="C146" s="16"/>
      <c r="D146" s="17" t="s">
        <v>12</v>
      </c>
      <c r="E146" s="7">
        <v>2904006.52</v>
      </c>
      <c r="F146" s="25">
        <f>SUM(E145:E146)</f>
        <v>3855869.99</v>
      </c>
      <c r="G146" s="36">
        <f>+F146/F150</f>
        <v>0.22654638418501813</v>
      </c>
    </row>
    <row r="147" spans="3:10" ht="2.25" hidden="1" customHeight="1" x14ac:dyDescent="0.25">
      <c r="C147" s="16"/>
      <c r="D147" s="32"/>
      <c r="E147" s="22"/>
      <c r="F147" s="18"/>
      <c r="G147" s="21"/>
    </row>
    <row r="148" spans="3:10" ht="12" hidden="1" customHeight="1" x14ac:dyDescent="0.25">
      <c r="C148" s="16"/>
      <c r="D148" s="27" t="s">
        <v>37</v>
      </c>
      <c r="E148" s="18"/>
      <c r="F148" s="28">
        <f>SUM(F146)</f>
        <v>3855869.99</v>
      </c>
      <c r="G148" s="29">
        <f>+G146</f>
        <v>0.22654638418501813</v>
      </c>
    </row>
    <row r="149" spans="3:10" ht="2.4500000000000002" hidden="1" customHeight="1" x14ac:dyDescent="0.25">
      <c r="C149" s="16"/>
      <c r="D149" s="32"/>
      <c r="E149" s="22"/>
      <c r="F149" s="18"/>
      <c r="G149" s="21"/>
    </row>
    <row r="150" spans="3:10" ht="13.5" customHeight="1" thickBot="1" x14ac:dyDescent="0.3">
      <c r="C150" s="16"/>
      <c r="D150" s="37" t="s">
        <v>13</v>
      </c>
      <c r="E150" s="22"/>
      <c r="F150" s="38">
        <f>+F141+F148</f>
        <v>17020223.049999997</v>
      </c>
      <c r="G150" s="39">
        <f>+G141+G148</f>
        <v>1</v>
      </c>
    </row>
    <row r="151" spans="3:10" ht="6" customHeight="1" thickTop="1" x14ac:dyDescent="0.25">
      <c r="C151" s="40"/>
      <c r="D151" s="41"/>
      <c r="E151" s="42"/>
      <c r="F151" s="42"/>
      <c r="G151" s="36"/>
    </row>
    <row r="152" spans="3:10" ht="15" customHeight="1" x14ac:dyDescent="0.25">
      <c r="C152" s="52"/>
      <c r="D152" s="32"/>
      <c r="E152" s="44"/>
      <c r="F152" s="44"/>
      <c r="G152" s="53"/>
    </row>
    <row r="153" spans="3:10" x14ac:dyDescent="0.25">
      <c r="D153" s="2" t="s">
        <v>45</v>
      </c>
      <c r="F153" s="2"/>
    </row>
    <row r="154" spans="3:10" ht="16.5" x14ac:dyDescent="0.3">
      <c r="C154" s="61" t="s">
        <v>17</v>
      </c>
      <c r="D154" s="61"/>
      <c r="E154" s="61"/>
      <c r="F154" s="61"/>
      <c r="G154" s="61"/>
    </row>
    <row r="155" spans="3:10" ht="6" customHeight="1" x14ac:dyDescent="0.25"/>
    <row r="156" spans="3:10" ht="12" customHeight="1" x14ac:dyDescent="0.25">
      <c r="C156" s="62" t="s">
        <v>1</v>
      </c>
      <c r="D156" s="63"/>
      <c r="E156" s="13" t="s">
        <v>35</v>
      </c>
      <c r="F156" s="14" t="s">
        <v>2</v>
      </c>
      <c r="G156" s="15" t="s">
        <v>3</v>
      </c>
    </row>
    <row r="157" spans="3:10" ht="12" customHeight="1" x14ac:dyDescent="0.25">
      <c r="C157" s="16" t="s">
        <v>46</v>
      </c>
      <c r="D157" s="17"/>
      <c r="E157" s="18"/>
      <c r="F157" s="19"/>
      <c r="G157" s="48"/>
    </row>
    <row r="158" spans="3:10" ht="12" customHeight="1" x14ac:dyDescent="0.25">
      <c r="C158" s="16"/>
      <c r="D158" s="17" t="s">
        <v>4</v>
      </c>
      <c r="E158" s="20">
        <v>13374040.23</v>
      </c>
      <c r="G158" s="35"/>
    </row>
    <row r="159" spans="3:10" ht="12" customHeight="1" x14ac:dyDescent="0.25">
      <c r="C159" s="16"/>
      <c r="D159" s="17" t="s">
        <v>5</v>
      </c>
      <c r="E159" s="6">
        <v>4768700.8099999996</v>
      </c>
      <c r="G159" s="35"/>
    </row>
    <row r="160" spans="3:10" ht="12" customHeight="1" x14ac:dyDescent="0.25">
      <c r="C160" s="16"/>
      <c r="D160" s="17" t="s">
        <v>33</v>
      </c>
      <c r="E160" s="6">
        <v>404138.89</v>
      </c>
      <c r="F160" s="23"/>
      <c r="G160" s="35"/>
      <c r="J160" s="45"/>
    </row>
    <row r="161" spans="3:10" ht="12" customHeight="1" x14ac:dyDescent="0.25">
      <c r="C161" s="16"/>
      <c r="D161" s="17" t="s">
        <v>6</v>
      </c>
      <c r="E161" s="6">
        <v>753268.07</v>
      </c>
      <c r="F161" s="23"/>
      <c r="G161" s="35"/>
    </row>
    <row r="162" spans="3:10" ht="12" customHeight="1" x14ac:dyDescent="0.25">
      <c r="C162" s="16"/>
      <c r="D162" s="17" t="s">
        <v>7</v>
      </c>
      <c r="E162" s="6">
        <v>961206.87</v>
      </c>
      <c r="F162" s="23"/>
      <c r="G162" s="35"/>
    </row>
    <row r="163" spans="3:10" ht="12" hidden="1" customHeight="1" x14ac:dyDescent="0.25">
      <c r="C163" s="16"/>
      <c r="D163" s="17" t="s">
        <v>31</v>
      </c>
      <c r="E163" s="6">
        <v>0</v>
      </c>
      <c r="F163" s="23"/>
      <c r="G163" s="35"/>
    </row>
    <row r="164" spans="3:10" ht="12" customHeight="1" x14ac:dyDescent="0.25">
      <c r="C164" s="16"/>
      <c r="D164" s="17" t="s">
        <v>32</v>
      </c>
      <c r="E164" s="6">
        <v>129232.76</v>
      </c>
      <c r="F164" s="23"/>
      <c r="G164" s="35"/>
    </row>
    <row r="165" spans="3:10" ht="12" customHeight="1" x14ac:dyDescent="0.25">
      <c r="C165" s="16"/>
      <c r="D165" s="17" t="s">
        <v>41</v>
      </c>
      <c r="E165" s="6">
        <v>4191437.11</v>
      </c>
      <c r="F165" s="23"/>
      <c r="G165" s="35"/>
    </row>
    <row r="166" spans="3:10" ht="12" customHeight="1" x14ac:dyDescent="0.25">
      <c r="C166" s="16"/>
      <c r="D166" s="17" t="s">
        <v>36</v>
      </c>
      <c r="E166" s="7">
        <v>20455830</v>
      </c>
      <c r="F166" s="12">
        <f>SUM(E158:E166)</f>
        <v>45037854.740000002</v>
      </c>
      <c r="G166" s="35">
        <f>+F166/F184+0.0001</f>
        <v>0.69123882517546642</v>
      </c>
      <c r="J166" s="45">
        <f>69.12+5.02+0.06+25.8</f>
        <v>100</v>
      </c>
    </row>
    <row r="167" spans="3:10" ht="2.4500000000000002" customHeight="1" x14ac:dyDescent="0.25">
      <c r="C167" s="16"/>
      <c r="D167" s="17"/>
      <c r="E167" s="18"/>
      <c r="F167" s="22"/>
      <c r="G167" s="21"/>
    </row>
    <row r="168" spans="3:10" ht="12" customHeight="1" x14ac:dyDescent="0.25">
      <c r="C168" s="16" t="s">
        <v>34</v>
      </c>
      <c r="D168" s="32"/>
      <c r="E168" s="22"/>
      <c r="F168" s="18"/>
      <c r="G168" s="21"/>
    </row>
    <row r="169" spans="3:10" ht="12" customHeight="1" x14ac:dyDescent="0.25">
      <c r="C169" s="16"/>
      <c r="D169" s="33" t="s">
        <v>38</v>
      </c>
      <c r="E169" s="34"/>
      <c r="F169" s="6">
        <v>3273459</v>
      </c>
      <c r="G169" s="35">
        <f>+F169/F184</f>
        <v>5.0233622817534247E-2</v>
      </c>
    </row>
    <row r="170" spans="3:10" ht="12" customHeight="1" x14ac:dyDescent="0.25">
      <c r="C170" s="16" t="s">
        <v>47</v>
      </c>
      <c r="D170" s="32"/>
      <c r="E170" s="22"/>
      <c r="F170" s="23"/>
      <c r="G170" s="35"/>
    </row>
    <row r="171" spans="3:10" ht="12" customHeight="1" x14ac:dyDescent="0.25">
      <c r="C171" s="16"/>
      <c r="D171" s="17" t="s">
        <v>44</v>
      </c>
      <c r="F171" s="7">
        <v>39131.69</v>
      </c>
      <c r="G171" s="26">
        <f>+F171/F184</f>
        <v>6.0050440701187242E-4</v>
      </c>
    </row>
    <row r="172" spans="3:10" ht="12" hidden="1" customHeight="1" x14ac:dyDescent="0.25">
      <c r="C172" s="16"/>
      <c r="D172" s="17" t="s">
        <v>8</v>
      </c>
      <c r="E172" s="22">
        <v>0</v>
      </c>
      <c r="F172" s="24"/>
      <c r="G172" s="49"/>
    </row>
    <row r="173" spans="3:10" ht="12" hidden="1" customHeight="1" x14ac:dyDescent="0.25">
      <c r="C173" s="16"/>
      <c r="D173" s="17" t="s">
        <v>9</v>
      </c>
      <c r="E173" s="22">
        <v>0</v>
      </c>
      <c r="F173" s="2"/>
      <c r="G173" s="51"/>
    </row>
    <row r="174" spans="3:10" ht="12" hidden="1" customHeight="1" x14ac:dyDescent="0.25">
      <c r="C174" s="16"/>
      <c r="D174" s="17" t="s">
        <v>42</v>
      </c>
      <c r="E174" s="25">
        <v>0</v>
      </c>
    </row>
    <row r="175" spans="3:10" ht="12" customHeight="1" x14ac:dyDescent="0.25">
      <c r="C175" s="16"/>
      <c r="D175" s="27" t="s">
        <v>37</v>
      </c>
      <c r="E175" s="18"/>
      <c r="F175" s="28">
        <f>SUM(F158:F173)</f>
        <v>48350445.43</v>
      </c>
      <c r="G175" s="29">
        <f>+F175/F184</f>
        <v>0.74197295240001249</v>
      </c>
      <c r="J175" s="45">
        <f>74.2+25.8</f>
        <v>100</v>
      </c>
    </row>
    <row r="176" spans="3:10" ht="6" customHeight="1" x14ac:dyDescent="0.25">
      <c r="C176" s="16"/>
      <c r="D176" s="27"/>
      <c r="E176" s="18"/>
      <c r="F176" s="30"/>
      <c r="G176" s="31"/>
    </row>
    <row r="177" spans="3:7" ht="6" customHeight="1" x14ac:dyDescent="0.25">
      <c r="C177" s="16"/>
      <c r="D177" s="27"/>
      <c r="E177" s="18"/>
      <c r="F177" s="30"/>
      <c r="G177" s="31"/>
    </row>
    <row r="178" spans="3:7" ht="12" customHeight="1" x14ac:dyDescent="0.25">
      <c r="C178" s="16" t="s">
        <v>10</v>
      </c>
      <c r="D178" s="17"/>
      <c r="E178" s="18"/>
      <c r="F178" s="22"/>
      <c r="G178" s="21"/>
    </row>
    <row r="179" spans="3:7" ht="12" customHeight="1" x14ac:dyDescent="0.25">
      <c r="C179" s="16"/>
      <c r="D179" s="17" t="s">
        <v>11</v>
      </c>
      <c r="E179" s="12">
        <v>3066961.79</v>
      </c>
      <c r="F179" s="22"/>
      <c r="G179" s="21"/>
    </row>
    <row r="180" spans="3:7" ht="12" customHeight="1" x14ac:dyDescent="0.25">
      <c r="C180" s="16"/>
      <c r="D180" s="17" t="s">
        <v>12</v>
      </c>
      <c r="E180" s="7">
        <v>13747293.560000001</v>
      </c>
      <c r="F180" s="25">
        <f>SUM(E179:E180)</f>
        <v>16814255.350000001</v>
      </c>
      <c r="G180" s="36">
        <f>+F180/F184</f>
        <v>0.25802704759998746</v>
      </c>
    </row>
    <row r="181" spans="3:7" ht="2.25" hidden="1" customHeight="1" x14ac:dyDescent="0.25">
      <c r="C181" s="16"/>
      <c r="D181" s="32"/>
      <c r="E181" s="22"/>
      <c r="F181" s="18"/>
      <c r="G181" s="21"/>
    </row>
    <row r="182" spans="3:7" ht="12" hidden="1" customHeight="1" x14ac:dyDescent="0.25">
      <c r="C182" s="16"/>
      <c r="D182" s="27" t="s">
        <v>37</v>
      </c>
      <c r="E182" s="18"/>
      <c r="F182" s="28">
        <f>SUM(F180)</f>
        <v>16814255.350000001</v>
      </c>
      <c r="G182" s="29">
        <f>+G180</f>
        <v>0.25802704759998746</v>
      </c>
    </row>
    <row r="183" spans="3:7" ht="2.4500000000000002" hidden="1" customHeight="1" x14ac:dyDescent="0.25">
      <c r="C183" s="16"/>
      <c r="D183" s="32"/>
      <c r="E183" s="22"/>
      <c r="F183" s="18"/>
      <c r="G183" s="21"/>
    </row>
    <row r="184" spans="3:7" ht="13.5" customHeight="1" thickBot="1" x14ac:dyDescent="0.3">
      <c r="C184" s="16"/>
      <c r="D184" s="37" t="s">
        <v>13</v>
      </c>
      <c r="E184" s="22"/>
      <c r="F184" s="38">
        <f>+F175+F182</f>
        <v>65164700.780000001</v>
      </c>
      <c r="G184" s="39">
        <f>+G175+G182</f>
        <v>1</v>
      </c>
    </row>
    <row r="185" spans="3:7" ht="6" customHeight="1" thickTop="1" x14ac:dyDescent="0.25">
      <c r="C185" s="40"/>
      <c r="D185" s="41"/>
      <c r="E185" s="42"/>
      <c r="F185" s="42"/>
      <c r="G185" s="36"/>
    </row>
    <row r="186" spans="3:7" x14ac:dyDescent="0.25">
      <c r="C186" s="8"/>
      <c r="D186" s="9"/>
      <c r="E186" s="10"/>
      <c r="F186" s="10"/>
      <c r="G186" s="11"/>
    </row>
    <row r="187" spans="3:7" x14ac:dyDescent="0.25">
      <c r="C187" s="8"/>
      <c r="D187" s="9"/>
      <c r="E187" s="10"/>
      <c r="F187" s="10"/>
      <c r="G187" s="11"/>
    </row>
    <row r="188" spans="3:7" ht="16.5" x14ac:dyDescent="0.3">
      <c r="C188" s="61" t="s">
        <v>39</v>
      </c>
      <c r="D188" s="61"/>
      <c r="E188" s="61"/>
      <c r="F188" s="61"/>
      <c r="G188" s="61"/>
    </row>
    <row r="189" spans="3:7" ht="6" customHeight="1" x14ac:dyDescent="0.25"/>
    <row r="190" spans="3:7" ht="12" customHeight="1" x14ac:dyDescent="0.25">
      <c r="C190" s="62" t="s">
        <v>1</v>
      </c>
      <c r="D190" s="63"/>
      <c r="E190" s="13" t="s">
        <v>35</v>
      </c>
      <c r="F190" s="14" t="s">
        <v>2</v>
      </c>
      <c r="G190" s="15" t="s">
        <v>3</v>
      </c>
    </row>
    <row r="191" spans="3:7" ht="12" customHeight="1" x14ac:dyDescent="0.25">
      <c r="C191" s="16" t="s">
        <v>46</v>
      </c>
      <c r="D191" s="17"/>
      <c r="E191" s="18"/>
      <c r="F191" s="19"/>
      <c r="G191" s="48"/>
    </row>
    <row r="192" spans="3:7" ht="12" customHeight="1" x14ac:dyDescent="0.25">
      <c r="C192" s="16"/>
      <c r="D192" s="17" t="s">
        <v>4</v>
      </c>
      <c r="E192" s="20">
        <v>8940337.0099999998</v>
      </c>
      <c r="G192" s="35"/>
    </row>
    <row r="193" spans="3:10" ht="12" customHeight="1" x14ac:dyDescent="0.25">
      <c r="C193" s="16"/>
      <c r="D193" s="17" t="s">
        <v>5</v>
      </c>
      <c r="E193" s="6">
        <v>3302895.6</v>
      </c>
      <c r="G193" s="35"/>
    </row>
    <row r="194" spans="3:10" ht="12" customHeight="1" x14ac:dyDescent="0.25">
      <c r="C194" s="16"/>
      <c r="D194" s="17" t="s">
        <v>33</v>
      </c>
      <c r="E194" s="6">
        <v>477512.45</v>
      </c>
      <c r="F194" s="23"/>
      <c r="G194" s="35"/>
      <c r="J194" s="45"/>
    </row>
    <row r="195" spans="3:10" ht="12" customHeight="1" x14ac:dyDescent="0.25">
      <c r="C195" s="16"/>
      <c r="D195" s="17" t="s">
        <v>6</v>
      </c>
      <c r="E195" s="6">
        <v>305183.89</v>
      </c>
      <c r="F195" s="23"/>
      <c r="G195" s="35"/>
    </row>
    <row r="196" spans="3:10" ht="12" customHeight="1" x14ac:dyDescent="0.25">
      <c r="C196" s="16"/>
      <c r="D196" s="17" t="s">
        <v>7</v>
      </c>
      <c r="E196" s="6">
        <v>381418.5</v>
      </c>
      <c r="F196" s="23"/>
      <c r="G196" s="35"/>
    </row>
    <row r="197" spans="3:10" ht="12" hidden="1" customHeight="1" x14ac:dyDescent="0.25">
      <c r="C197" s="16"/>
      <c r="D197" s="17" t="s">
        <v>31</v>
      </c>
      <c r="E197" s="6">
        <v>0</v>
      </c>
      <c r="F197" s="23"/>
      <c r="G197" s="35"/>
    </row>
    <row r="198" spans="3:10" ht="12" customHeight="1" x14ac:dyDescent="0.25">
      <c r="C198" s="16"/>
      <c r="D198" s="17" t="s">
        <v>32</v>
      </c>
      <c r="E198" s="6">
        <v>74457.31</v>
      </c>
      <c r="F198" s="23"/>
      <c r="G198" s="35"/>
    </row>
    <row r="199" spans="3:10" ht="12" customHeight="1" x14ac:dyDescent="0.25">
      <c r="C199" s="16"/>
      <c r="D199" s="17" t="s">
        <v>41</v>
      </c>
      <c r="E199" s="6">
        <v>2317572.62</v>
      </c>
      <c r="F199" s="23"/>
      <c r="G199" s="35"/>
    </row>
    <row r="200" spans="3:10" ht="12" customHeight="1" x14ac:dyDescent="0.25">
      <c r="C200" s="16"/>
      <c r="D200" s="17" t="s">
        <v>36</v>
      </c>
      <c r="E200" s="7">
        <v>2724498</v>
      </c>
      <c r="F200" s="12">
        <f>SUM(E192:E200)</f>
        <v>18523875.379999999</v>
      </c>
      <c r="G200" s="35">
        <f>+F200/F218</f>
        <v>0.72379277898079375</v>
      </c>
    </row>
    <row r="201" spans="3:10" ht="2.4500000000000002" customHeight="1" x14ac:dyDescent="0.25">
      <c r="C201" s="16"/>
      <c r="D201" s="17"/>
      <c r="E201" s="18"/>
      <c r="F201" s="22"/>
      <c r="G201" s="21"/>
    </row>
    <row r="202" spans="3:10" ht="12" hidden="1" customHeight="1" x14ac:dyDescent="0.25">
      <c r="C202" s="16" t="s">
        <v>34</v>
      </c>
      <c r="D202" s="32"/>
      <c r="E202" s="22"/>
      <c r="F202" s="18"/>
      <c r="G202" s="21"/>
    </row>
    <row r="203" spans="3:10" ht="12" hidden="1" customHeight="1" x14ac:dyDescent="0.25">
      <c r="C203" s="16"/>
      <c r="D203" s="33" t="s">
        <v>38</v>
      </c>
      <c r="E203" s="34"/>
      <c r="F203" s="6">
        <v>0</v>
      </c>
      <c r="G203" s="35">
        <f>+F203/F218</f>
        <v>0</v>
      </c>
    </row>
    <row r="204" spans="3:10" ht="12" customHeight="1" x14ac:dyDescent="0.25">
      <c r="C204" s="16" t="s">
        <v>47</v>
      </c>
      <c r="D204" s="32"/>
      <c r="E204" s="22"/>
      <c r="F204" s="23"/>
      <c r="G204" s="35"/>
    </row>
    <row r="205" spans="3:10" ht="12" customHeight="1" x14ac:dyDescent="0.25">
      <c r="C205" s="16"/>
      <c r="D205" s="17" t="s">
        <v>44</v>
      </c>
      <c r="E205" s="57"/>
      <c r="F205" s="7">
        <v>18997.939999999999</v>
      </c>
      <c r="G205" s="26">
        <f>+F205/F218</f>
        <v>7.4231614634790203E-4</v>
      </c>
      <c r="J205" s="45">
        <f>72.38+0.07+27.55</f>
        <v>99.999999999999986</v>
      </c>
    </row>
    <row r="206" spans="3:10" ht="12" hidden="1" customHeight="1" x14ac:dyDescent="0.25">
      <c r="C206" s="16"/>
      <c r="D206" s="17" t="s">
        <v>8</v>
      </c>
      <c r="E206" s="6">
        <v>0</v>
      </c>
      <c r="F206" s="24"/>
      <c r="G206" s="49"/>
      <c r="J206" s="45"/>
    </row>
    <row r="207" spans="3:10" ht="12" hidden="1" customHeight="1" x14ac:dyDescent="0.25">
      <c r="C207" s="16"/>
      <c r="D207" s="17" t="s">
        <v>9</v>
      </c>
      <c r="E207" s="6">
        <v>0</v>
      </c>
      <c r="F207" s="2"/>
      <c r="G207" s="51"/>
      <c r="J207" s="45"/>
    </row>
    <row r="208" spans="3:10" ht="12" hidden="1" customHeight="1" x14ac:dyDescent="0.25">
      <c r="C208" s="16"/>
      <c r="D208" s="17" t="s">
        <v>42</v>
      </c>
      <c r="E208" s="7"/>
      <c r="F208" s="7">
        <f>SUM(E205:E208)</f>
        <v>0</v>
      </c>
      <c r="J208" s="45"/>
    </row>
    <row r="209" spans="3:10" ht="12" customHeight="1" x14ac:dyDescent="0.25">
      <c r="C209" s="16"/>
      <c r="D209" s="27" t="s">
        <v>37</v>
      </c>
      <c r="E209" s="18"/>
      <c r="F209" s="28">
        <f>SUM(F192:F208)</f>
        <v>18542873.32</v>
      </c>
      <c r="G209" s="29">
        <f>+F209/F218</f>
        <v>0.72453509512714165</v>
      </c>
      <c r="J209" s="45">
        <f>72.45+27.55</f>
        <v>100</v>
      </c>
    </row>
    <row r="210" spans="3:10" ht="6" customHeight="1" x14ac:dyDescent="0.25">
      <c r="C210" s="16"/>
      <c r="D210" s="27"/>
      <c r="E210" s="18"/>
      <c r="F210" s="30"/>
      <c r="G210" s="31"/>
    </row>
    <row r="211" spans="3:10" ht="6" customHeight="1" x14ac:dyDescent="0.25">
      <c r="C211" s="16"/>
      <c r="D211" s="27"/>
      <c r="E211" s="18"/>
      <c r="F211" s="30"/>
      <c r="G211" s="31"/>
    </row>
    <row r="212" spans="3:10" ht="12" customHeight="1" x14ac:dyDescent="0.25">
      <c r="C212" s="16" t="s">
        <v>10</v>
      </c>
      <c r="D212" s="17"/>
      <c r="E212" s="18"/>
      <c r="F212" s="22"/>
      <c r="G212" s="21"/>
    </row>
    <row r="213" spans="3:10" ht="12" customHeight="1" x14ac:dyDescent="0.25">
      <c r="C213" s="16"/>
      <c r="D213" s="17" t="s">
        <v>11</v>
      </c>
      <c r="E213" s="12">
        <v>1695169.42</v>
      </c>
      <c r="F213" s="22"/>
      <c r="G213" s="21"/>
    </row>
    <row r="214" spans="3:10" ht="12" customHeight="1" x14ac:dyDescent="0.25">
      <c r="C214" s="16"/>
      <c r="D214" s="17" t="s">
        <v>12</v>
      </c>
      <c r="E214" s="7">
        <v>5354745.58</v>
      </c>
      <c r="F214" s="25">
        <f>SUM(E213:E214)</f>
        <v>7049915</v>
      </c>
      <c r="G214" s="36">
        <f>+F214/F218</f>
        <v>0.27546490487285835</v>
      </c>
    </row>
    <row r="215" spans="3:10" ht="2.25" hidden="1" customHeight="1" x14ac:dyDescent="0.25">
      <c r="C215" s="16"/>
      <c r="D215" s="32"/>
      <c r="E215" s="22"/>
      <c r="F215" s="18"/>
      <c r="G215" s="21"/>
    </row>
    <row r="216" spans="3:10" ht="12" hidden="1" customHeight="1" x14ac:dyDescent="0.25">
      <c r="C216" s="16"/>
      <c r="D216" s="27" t="s">
        <v>37</v>
      </c>
      <c r="E216" s="18"/>
      <c r="F216" s="28">
        <f>SUM(F214)</f>
        <v>7049915</v>
      </c>
      <c r="G216" s="29">
        <f>+G214</f>
        <v>0.27546490487285835</v>
      </c>
    </row>
    <row r="217" spans="3:10" ht="2.4500000000000002" hidden="1" customHeight="1" x14ac:dyDescent="0.25">
      <c r="C217" s="16"/>
      <c r="D217" s="32"/>
      <c r="E217" s="22"/>
      <c r="F217" s="18"/>
      <c r="G217" s="21"/>
    </row>
    <row r="218" spans="3:10" ht="13.5" customHeight="1" thickBot="1" x14ac:dyDescent="0.3">
      <c r="C218" s="16"/>
      <c r="D218" s="37" t="s">
        <v>13</v>
      </c>
      <c r="E218" s="22"/>
      <c r="F218" s="38">
        <f>+F209+F216</f>
        <v>25592788.32</v>
      </c>
      <c r="G218" s="39">
        <f>+G209+G216</f>
        <v>1</v>
      </c>
    </row>
    <row r="219" spans="3:10" ht="6" customHeight="1" thickTop="1" x14ac:dyDescent="0.25">
      <c r="C219" s="40"/>
      <c r="D219" s="41"/>
      <c r="E219" s="42"/>
      <c r="F219" s="42"/>
      <c r="G219" s="36"/>
    </row>
    <row r="220" spans="3:10" x14ac:dyDescent="0.25">
      <c r="F220" s="2"/>
    </row>
    <row r="221" spans="3:10" x14ac:dyDescent="0.25">
      <c r="D221" s="2" t="s">
        <v>45</v>
      </c>
    </row>
    <row r="222" spans="3:10" ht="16.5" x14ac:dyDescent="0.3">
      <c r="C222" s="61" t="s">
        <v>18</v>
      </c>
      <c r="D222" s="61"/>
      <c r="E222" s="61"/>
      <c r="F222" s="61"/>
      <c r="G222" s="61"/>
    </row>
    <row r="223" spans="3:10" ht="6" customHeight="1" x14ac:dyDescent="0.25"/>
    <row r="224" spans="3:10" ht="12" customHeight="1" x14ac:dyDescent="0.25">
      <c r="C224" s="62" t="s">
        <v>1</v>
      </c>
      <c r="D224" s="63"/>
      <c r="E224" s="13" t="s">
        <v>35</v>
      </c>
      <c r="F224" s="14" t="s">
        <v>2</v>
      </c>
      <c r="G224" s="15" t="s">
        <v>3</v>
      </c>
    </row>
    <row r="225" spans="3:10" ht="12" customHeight="1" x14ac:dyDescent="0.25">
      <c r="C225" s="16" t="s">
        <v>46</v>
      </c>
      <c r="D225" s="17"/>
      <c r="E225" s="18"/>
      <c r="F225" s="19"/>
      <c r="G225" s="48"/>
    </row>
    <row r="226" spans="3:10" ht="12" customHeight="1" x14ac:dyDescent="0.25">
      <c r="C226" s="16"/>
      <c r="D226" s="17" t="s">
        <v>4</v>
      </c>
      <c r="E226" s="20">
        <v>7869823.2300000004</v>
      </c>
      <c r="G226" s="35"/>
    </row>
    <row r="227" spans="3:10" ht="12" customHeight="1" x14ac:dyDescent="0.25">
      <c r="C227" s="16"/>
      <c r="D227" s="17" t="s">
        <v>5</v>
      </c>
      <c r="E227" s="6">
        <v>2978480.84</v>
      </c>
      <c r="G227" s="35"/>
    </row>
    <row r="228" spans="3:10" ht="12" customHeight="1" x14ac:dyDescent="0.25">
      <c r="C228" s="16"/>
      <c r="D228" s="17" t="s">
        <v>33</v>
      </c>
      <c r="E228" s="6">
        <v>505849.83</v>
      </c>
      <c r="F228" s="23"/>
      <c r="G228" s="35"/>
      <c r="J228" s="45"/>
    </row>
    <row r="229" spans="3:10" ht="12" customHeight="1" x14ac:dyDescent="0.25">
      <c r="C229" s="16"/>
      <c r="D229" s="17" t="s">
        <v>6</v>
      </c>
      <c r="E229" s="6">
        <v>190757.82</v>
      </c>
      <c r="F229" s="23"/>
      <c r="G229" s="35"/>
    </row>
    <row r="230" spans="3:10" ht="12" customHeight="1" x14ac:dyDescent="0.25">
      <c r="C230" s="16"/>
      <c r="D230" s="17" t="s">
        <v>7</v>
      </c>
      <c r="E230" s="6">
        <v>232536.42</v>
      </c>
      <c r="F230" s="23"/>
      <c r="G230" s="35"/>
    </row>
    <row r="231" spans="3:10" ht="12" hidden="1" customHeight="1" x14ac:dyDescent="0.25">
      <c r="C231" s="16"/>
      <c r="D231" s="17" t="s">
        <v>31</v>
      </c>
      <c r="E231" s="6">
        <v>0</v>
      </c>
      <c r="F231" s="23"/>
      <c r="G231" s="35"/>
    </row>
    <row r="232" spans="3:10" ht="12" customHeight="1" x14ac:dyDescent="0.25">
      <c r="C232" s="16"/>
      <c r="D232" s="17" t="s">
        <v>32</v>
      </c>
      <c r="E232" s="6">
        <v>59726.77</v>
      </c>
      <c r="G232" s="5"/>
    </row>
    <row r="233" spans="3:10" ht="12" customHeight="1" x14ac:dyDescent="0.25">
      <c r="C233" s="16"/>
      <c r="D233" s="17" t="s">
        <v>41</v>
      </c>
      <c r="E233" s="6">
        <v>1765115.25</v>
      </c>
      <c r="F233" s="23"/>
      <c r="G233" s="35"/>
    </row>
    <row r="234" spans="3:10" ht="12" customHeight="1" x14ac:dyDescent="0.25">
      <c r="C234" s="16"/>
      <c r="D234" s="17" t="s">
        <v>36</v>
      </c>
      <c r="E234" s="7">
        <v>8112901</v>
      </c>
      <c r="F234" s="12">
        <f>SUM(E226:E234)</f>
        <v>21715191.16</v>
      </c>
      <c r="G234" s="35">
        <f>+F234/F252</f>
        <v>0.75633668306601465</v>
      </c>
    </row>
    <row r="235" spans="3:10" ht="2.4500000000000002" customHeight="1" x14ac:dyDescent="0.25">
      <c r="C235" s="16"/>
      <c r="D235" s="17"/>
      <c r="E235" s="18"/>
      <c r="F235" s="22"/>
      <c r="G235" s="21"/>
    </row>
    <row r="236" spans="3:10" ht="12" hidden="1" customHeight="1" x14ac:dyDescent="0.25">
      <c r="C236" s="16" t="s">
        <v>34</v>
      </c>
      <c r="D236" s="32"/>
      <c r="E236" s="22"/>
      <c r="F236" s="18"/>
      <c r="G236" s="21"/>
    </row>
    <row r="237" spans="3:10" ht="12" hidden="1" customHeight="1" x14ac:dyDescent="0.25">
      <c r="C237" s="16"/>
      <c r="D237" s="33" t="s">
        <v>38</v>
      </c>
      <c r="E237" s="34"/>
      <c r="F237" s="6">
        <v>0</v>
      </c>
      <c r="G237" s="35">
        <f>+F237/F252</f>
        <v>0</v>
      </c>
    </row>
    <row r="238" spans="3:10" ht="12" customHeight="1" x14ac:dyDescent="0.25">
      <c r="C238" s="16" t="s">
        <v>47</v>
      </c>
      <c r="D238" s="32"/>
      <c r="E238" s="22"/>
      <c r="F238" s="23"/>
      <c r="G238" s="35"/>
      <c r="J238" s="45">
        <f>75.63+0.46+23.91</f>
        <v>99.999999999999986</v>
      </c>
    </row>
    <row r="239" spans="3:10" ht="12" customHeight="1" x14ac:dyDescent="0.25">
      <c r="C239" s="16"/>
      <c r="D239" s="17" t="s">
        <v>44</v>
      </c>
      <c r="E239" s="12">
        <v>6641.48</v>
      </c>
      <c r="F239" s="6"/>
      <c r="G239" s="5"/>
    </row>
    <row r="240" spans="3:10" ht="12" hidden="1" customHeight="1" x14ac:dyDescent="0.25">
      <c r="C240" s="16"/>
      <c r="D240" s="17" t="s">
        <v>8</v>
      </c>
      <c r="E240" s="22">
        <v>0</v>
      </c>
      <c r="F240" s="24"/>
      <c r="G240" s="49"/>
    </row>
    <row r="241" spans="3:10" ht="12" customHeight="1" x14ac:dyDescent="0.25">
      <c r="C241" s="16"/>
      <c r="D241" s="17" t="s">
        <v>9</v>
      </c>
      <c r="E241" s="25">
        <v>124744.08</v>
      </c>
      <c r="F241" s="25">
        <f>SUM(E239:E242)</f>
        <v>131385.56</v>
      </c>
      <c r="G241" s="26">
        <f>+F241/F252-0.00001</f>
        <v>4.5661383319625755E-3</v>
      </c>
    </row>
    <row r="242" spans="3:10" ht="12" hidden="1" customHeight="1" x14ac:dyDescent="0.25">
      <c r="C242" s="16"/>
      <c r="D242" s="17" t="s">
        <v>42</v>
      </c>
      <c r="E242" s="25">
        <v>0</v>
      </c>
    </row>
    <row r="243" spans="3:10" ht="12" customHeight="1" x14ac:dyDescent="0.25">
      <c r="C243" s="16"/>
      <c r="D243" s="27" t="s">
        <v>37</v>
      </c>
      <c r="E243" s="18"/>
      <c r="F243" s="28">
        <f>SUM(F226:F241)</f>
        <v>21846576.719999999</v>
      </c>
      <c r="G243" s="29">
        <f>+F243/F252</f>
        <v>0.76091282139797722</v>
      </c>
      <c r="J243" s="45">
        <f>76.09+23.91</f>
        <v>100</v>
      </c>
    </row>
    <row r="244" spans="3:10" ht="6" customHeight="1" x14ac:dyDescent="0.25">
      <c r="C244" s="16"/>
      <c r="D244" s="27"/>
      <c r="E244" s="18"/>
      <c r="F244" s="30"/>
      <c r="G244" s="31"/>
    </row>
    <row r="245" spans="3:10" ht="6" customHeight="1" x14ac:dyDescent="0.25">
      <c r="C245" s="16"/>
      <c r="D245" s="27"/>
      <c r="E245" s="18"/>
      <c r="F245" s="30"/>
      <c r="G245" s="31"/>
    </row>
    <row r="246" spans="3:10" ht="12" customHeight="1" x14ac:dyDescent="0.25">
      <c r="C246" s="16" t="s">
        <v>10</v>
      </c>
      <c r="D246" s="17"/>
      <c r="E246" s="18"/>
      <c r="F246" s="22"/>
      <c r="G246" s="21"/>
    </row>
    <row r="247" spans="3:10" ht="12" customHeight="1" x14ac:dyDescent="0.25">
      <c r="C247" s="16"/>
      <c r="D247" s="17" t="s">
        <v>11</v>
      </c>
      <c r="E247" s="12">
        <v>3482221.89</v>
      </c>
      <c r="F247" s="22"/>
      <c r="G247" s="21"/>
    </row>
    <row r="248" spans="3:10" ht="12" customHeight="1" x14ac:dyDescent="0.25">
      <c r="C248" s="16"/>
      <c r="D248" s="17" t="s">
        <v>12</v>
      </c>
      <c r="E248" s="7">
        <v>3382212.83</v>
      </c>
      <c r="F248" s="25">
        <f>SUM(E247:E248)</f>
        <v>6864434.7200000007</v>
      </c>
      <c r="G248" s="36">
        <f>+F248/F252</f>
        <v>0.23908717860202286</v>
      </c>
    </row>
    <row r="249" spans="3:10" ht="2.25" hidden="1" customHeight="1" x14ac:dyDescent="0.25">
      <c r="C249" s="16"/>
      <c r="D249" s="32"/>
      <c r="E249" s="22"/>
      <c r="F249" s="18"/>
      <c r="G249" s="21"/>
    </row>
    <row r="250" spans="3:10" ht="12" hidden="1" customHeight="1" x14ac:dyDescent="0.25">
      <c r="C250" s="16"/>
      <c r="D250" s="27" t="s">
        <v>37</v>
      </c>
      <c r="E250" s="18"/>
      <c r="F250" s="28">
        <f>SUM(F248)</f>
        <v>6864434.7200000007</v>
      </c>
      <c r="G250" s="29">
        <f>+G248</f>
        <v>0.23908717860202286</v>
      </c>
    </row>
    <row r="251" spans="3:10" ht="2.4500000000000002" hidden="1" customHeight="1" x14ac:dyDescent="0.25">
      <c r="C251" s="16"/>
      <c r="D251" s="32"/>
      <c r="E251" s="22"/>
      <c r="F251" s="18"/>
      <c r="G251" s="21"/>
    </row>
    <row r="252" spans="3:10" ht="13.5" customHeight="1" thickBot="1" x14ac:dyDescent="0.3">
      <c r="C252" s="16"/>
      <c r="D252" s="37" t="s">
        <v>13</v>
      </c>
      <c r="E252" s="22"/>
      <c r="F252" s="38">
        <f>+F243+F250</f>
        <v>28711011.439999998</v>
      </c>
      <c r="G252" s="39">
        <f>+G243+G250</f>
        <v>1</v>
      </c>
    </row>
    <row r="253" spans="3:10" ht="6" customHeight="1" thickTop="1" x14ac:dyDescent="0.25">
      <c r="C253" s="40"/>
      <c r="D253" s="41"/>
      <c r="E253" s="42"/>
      <c r="F253" s="42"/>
      <c r="G253" s="36"/>
    </row>
    <row r="254" spans="3:10" x14ac:dyDescent="0.25">
      <c r="C254" s="8"/>
      <c r="D254" s="9"/>
      <c r="E254" s="10"/>
      <c r="F254" s="10"/>
      <c r="G254" s="11"/>
    </row>
    <row r="255" spans="3:10" x14ac:dyDescent="0.25">
      <c r="C255" s="8"/>
      <c r="D255" s="9"/>
      <c r="E255" s="10"/>
      <c r="F255" s="10"/>
      <c r="G255" s="11"/>
    </row>
    <row r="256" spans="3:10" ht="16.5" x14ac:dyDescent="0.3">
      <c r="C256" s="61" t="s">
        <v>19</v>
      </c>
      <c r="D256" s="61"/>
      <c r="E256" s="61"/>
      <c r="F256" s="61"/>
      <c r="G256" s="61"/>
    </row>
    <row r="257" spans="3:10" ht="6" customHeight="1" x14ac:dyDescent="0.25"/>
    <row r="258" spans="3:10" ht="12" customHeight="1" x14ac:dyDescent="0.25">
      <c r="C258" s="62" t="s">
        <v>1</v>
      </c>
      <c r="D258" s="63"/>
      <c r="E258" s="13" t="s">
        <v>35</v>
      </c>
      <c r="F258" s="14" t="s">
        <v>2</v>
      </c>
      <c r="G258" s="15" t="s">
        <v>3</v>
      </c>
    </row>
    <row r="259" spans="3:10" ht="12" customHeight="1" x14ac:dyDescent="0.25">
      <c r="C259" s="16" t="s">
        <v>46</v>
      </c>
      <c r="D259" s="17"/>
      <c r="E259" s="18"/>
      <c r="F259" s="19"/>
      <c r="G259" s="48"/>
    </row>
    <row r="260" spans="3:10" ht="12" customHeight="1" x14ac:dyDescent="0.25">
      <c r="C260" s="16"/>
      <c r="D260" s="17" t="s">
        <v>4</v>
      </c>
      <c r="E260" s="20">
        <v>8203616.6399999997</v>
      </c>
      <c r="G260" s="35"/>
    </row>
    <row r="261" spans="3:10" ht="12" customHeight="1" x14ac:dyDescent="0.25">
      <c r="C261" s="16"/>
      <c r="D261" s="17" t="s">
        <v>5</v>
      </c>
      <c r="E261" s="6">
        <v>3443782.44</v>
      </c>
      <c r="G261" s="35"/>
    </row>
    <row r="262" spans="3:10" ht="12" customHeight="1" x14ac:dyDescent="0.25">
      <c r="C262" s="16"/>
      <c r="D262" s="17" t="s">
        <v>33</v>
      </c>
      <c r="E262" s="6">
        <v>502813.68</v>
      </c>
      <c r="F262" s="23"/>
      <c r="G262" s="35"/>
    </row>
    <row r="263" spans="3:10" ht="12" customHeight="1" x14ac:dyDescent="0.25">
      <c r="C263" s="16"/>
      <c r="D263" s="17" t="s">
        <v>6</v>
      </c>
      <c r="E263" s="6">
        <v>376352.52</v>
      </c>
      <c r="F263" s="23"/>
      <c r="G263" s="35"/>
    </row>
    <row r="264" spans="3:10" ht="12" customHeight="1" x14ac:dyDescent="0.25">
      <c r="C264" s="16"/>
      <c r="D264" s="17" t="s">
        <v>7</v>
      </c>
      <c r="E264" s="6">
        <v>465397.04</v>
      </c>
      <c r="F264" s="23"/>
      <c r="G264" s="35"/>
    </row>
    <row r="265" spans="3:10" ht="12" hidden="1" customHeight="1" x14ac:dyDescent="0.25">
      <c r="C265" s="16"/>
      <c r="D265" s="17" t="s">
        <v>31</v>
      </c>
      <c r="E265" s="6">
        <v>0</v>
      </c>
      <c r="F265" s="23"/>
      <c r="G265" s="35"/>
    </row>
    <row r="266" spans="3:10" ht="12" customHeight="1" x14ac:dyDescent="0.25">
      <c r="C266" s="16"/>
      <c r="D266" s="17" t="s">
        <v>32</v>
      </c>
      <c r="E266" s="6">
        <v>80535.350000000006</v>
      </c>
      <c r="F266" s="23"/>
      <c r="G266" s="35"/>
    </row>
    <row r="267" spans="3:10" ht="12" customHeight="1" x14ac:dyDescent="0.25">
      <c r="C267" s="16"/>
      <c r="D267" s="17" t="s">
        <v>41</v>
      </c>
      <c r="E267" s="6">
        <v>2411326.2799999998</v>
      </c>
      <c r="F267" s="23"/>
      <c r="G267" s="35"/>
    </row>
    <row r="268" spans="3:10" ht="12" customHeight="1" x14ac:dyDescent="0.25">
      <c r="C268" s="16"/>
      <c r="D268" s="17" t="s">
        <v>36</v>
      </c>
      <c r="E268" s="7">
        <v>1792270</v>
      </c>
      <c r="F268" s="12">
        <f>SUM(E260:E268)</f>
        <v>17276093.949999996</v>
      </c>
      <c r="G268" s="35">
        <f>+F268/F286</f>
        <v>0.62762722447352182</v>
      </c>
      <c r="J268" s="45">
        <f>62.76+0.58+36.66</f>
        <v>100</v>
      </c>
    </row>
    <row r="269" spans="3:10" ht="2.4500000000000002" customHeight="1" x14ac:dyDescent="0.25">
      <c r="C269" s="16"/>
      <c r="D269" s="17"/>
      <c r="E269" s="18"/>
      <c r="F269" s="22"/>
      <c r="G269" s="21"/>
    </row>
    <row r="270" spans="3:10" ht="12" hidden="1" customHeight="1" x14ac:dyDescent="0.25">
      <c r="C270" s="16" t="s">
        <v>34</v>
      </c>
      <c r="D270" s="32"/>
      <c r="E270" s="22"/>
      <c r="F270" s="18"/>
      <c r="G270" s="21"/>
    </row>
    <row r="271" spans="3:10" ht="12" hidden="1" customHeight="1" x14ac:dyDescent="0.25">
      <c r="C271" s="16"/>
      <c r="D271" s="33" t="s">
        <v>38</v>
      </c>
      <c r="E271" s="34"/>
      <c r="F271" s="6">
        <v>0</v>
      </c>
      <c r="G271" s="35">
        <f>+F271/F286</f>
        <v>0</v>
      </c>
    </row>
    <row r="272" spans="3:10" ht="12" customHeight="1" x14ac:dyDescent="0.25">
      <c r="C272" s="16" t="s">
        <v>47</v>
      </c>
      <c r="D272" s="32"/>
      <c r="E272" s="22"/>
      <c r="F272" s="23"/>
      <c r="G272" s="35"/>
    </row>
    <row r="273" spans="3:10" ht="12" customHeight="1" x14ac:dyDescent="0.25">
      <c r="C273" s="16"/>
      <c r="D273" s="17" t="s">
        <v>44</v>
      </c>
      <c r="E273" s="12">
        <v>915.84</v>
      </c>
      <c r="F273" s="6"/>
      <c r="G273" s="5"/>
    </row>
    <row r="274" spans="3:10" ht="12" customHeight="1" x14ac:dyDescent="0.25">
      <c r="C274" s="16"/>
      <c r="D274" s="17" t="s">
        <v>8</v>
      </c>
      <c r="E274" s="22">
        <v>131771.59</v>
      </c>
      <c r="F274" s="24"/>
      <c r="G274" s="49"/>
    </row>
    <row r="275" spans="3:10" ht="12" customHeight="1" x14ac:dyDescent="0.25">
      <c r="C275" s="16"/>
      <c r="D275" s="17" t="s">
        <v>9</v>
      </c>
      <c r="E275" s="25">
        <v>26715.759999999998</v>
      </c>
      <c r="F275" s="25">
        <f>SUM(E273:E276)</f>
        <v>159403.19</v>
      </c>
      <c r="G275" s="26">
        <f>+F275/F286</f>
        <v>5.7909954646852028E-3</v>
      </c>
    </row>
    <row r="276" spans="3:10" ht="12" hidden="1" customHeight="1" x14ac:dyDescent="0.25">
      <c r="C276" s="16"/>
      <c r="D276" s="17" t="s">
        <v>42</v>
      </c>
      <c r="E276" s="25">
        <v>0</v>
      </c>
    </row>
    <row r="277" spans="3:10" ht="12" customHeight="1" x14ac:dyDescent="0.25">
      <c r="C277" s="16"/>
      <c r="D277" s="27" t="s">
        <v>37</v>
      </c>
      <c r="E277" s="18"/>
      <c r="F277" s="28">
        <f>SUM(F260:F275)</f>
        <v>17435497.139999997</v>
      </c>
      <c r="G277" s="29">
        <f>+F277/F286</f>
        <v>0.63341821993820702</v>
      </c>
      <c r="J277" s="2">
        <f>63.34+36.66</f>
        <v>100</v>
      </c>
    </row>
    <row r="278" spans="3:10" ht="6" customHeight="1" x14ac:dyDescent="0.25">
      <c r="C278" s="16"/>
      <c r="D278" s="27"/>
      <c r="E278" s="18"/>
      <c r="F278" s="30"/>
      <c r="G278" s="31"/>
    </row>
    <row r="279" spans="3:10" ht="6" customHeight="1" x14ac:dyDescent="0.25">
      <c r="C279" s="16"/>
      <c r="D279" s="27"/>
      <c r="E279" s="18"/>
      <c r="F279" s="30"/>
      <c r="G279" s="31"/>
    </row>
    <row r="280" spans="3:10" ht="12" customHeight="1" x14ac:dyDescent="0.25">
      <c r="C280" s="16" t="s">
        <v>10</v>
      </c>
      <c r="D280" s="17"/>
      <c r="E280" s="18"/>
      <c r="F280" s="22"/>
      <c r="G280" s="21"/>
    </row>
    <row r="281" spans="3:10" ht="12" customHeight="1" x14ac:dyDescent="0.25">
      <c r="C281" s="16"/>
      <c r="D281" s="17" t="s">
        <v>11</v>
      </c>
      <c r="E281" s="12">
        <v>3919372.65</v>
      </c>
      <c r="F281" s="22"/>
      <c r="G281" s="21"/>
    </row>
    <row r="282" spans="3:10" ht="12" customHeight="1" x14ac:dyDescent="0.25">
      <c r="C282" s="16"/>
      <c r="D282" s="17" t="s">
        <v>12</v>
      </c>
      <c r="E282" s="7">
        <v>6171173.1799999997</v>
      </c>
      <c r="F282" s="25">
        <f>SUM(E281:E282)</f>
        <v>10090545.83</v>
      </c>
      <c r="G282" s="36">
        <f>+F282/F286</f>
        <v>0.36658178006179287</v>
      </c>
    </row>
    <row r="283" spans="3:10" ht="2.25" hidden="1" customHeight="1" x14ac:dyDescent="0.25">
      <c r="C283" s="16"/>
      <c r="D283" s="32"/>
      <c r="E283" s="22"/>
      <c r="F283" s="18"/>
      <c r="G283" s="21"/>
    </row>
    <row r="284" spans="3:10" ht="12" hidden="1" customHeight="1" x14ac:dyDescent="0.25">
      <c r="C284" s="16"/>
      <c r="D284" s="27" t="s">
        <v>37</v>
      </c>
      <c r="E284" s="18"/>
      <c r="F284" s="28">
        <f>SUM(F282)</f>
        <v>10090545.83</v>
      </c>
      <c r="G284" s="29">
        <f>+G282</f>
        <v>0.36658178006179287</v>
      </c>
    </row>
    <row r="285" spans="3:10" ht="2.4500000000000002" hidden="1" customHeight="1" x14ac:dyDescent="0.25">
      <c r="C285" s="16"/>
      <c r="D285" s="32"/>
      <c r="E285" s="22"/>
      <c r="F285" s="18"/>
      <c r="G285" s="21"/>
    </row>
    <row r="286" spans="3:10" ht="13.5" customHeight="1" thickBot="1" x14ac:dyDescent="0.3">
      <c r="C286" s="16"/>
      <c r="D286" s="37" t="s">
        <v>13</v>
      </c>
      <c r="E286" s="22"/>
      <c r="F286" s="38">
        <f>+F277+F284</f>
        <v>27526042.969999999</v>
      </c>
      <c r="G286" s="39">
        <f>+G277+G284</f>
        <v>0.99999999999999989</v>
      </c>
    </row>
    <row r="287" spans="3:10" ht="6" customHeight="1" thickTop="1" x14ac:dyDescent="0.25">
      <c r="C287" s="40"/>
      <c r="D287" s="41"/>
      <c r="E287" s="42"/>
      <c r="F287" s="42"/>
      <c r="G287" s="36"/>
    </row>
    <row r="288" spans="3:10" ht="14.25" customHeight="1" x14ac:dyDescent="0.25">
      <c r="C288" s="52"/>
      <c r="D288" s="32"/>
      <c r="E288" s="44"/>
      <c r="F288" s="44"/>
      <c r="G288" s="53"/>
    </row>
    <row r="289" spans="3:10" x14ac:dyDescent="0.25">
      <c r="D289" s="2" t="s">
        <v>45</v>
      </c>
    </row>
    <row r="290" spans="3:10" ht="16.5" x14ac:dyDescent="0.3">
      <c r="C290" s="61" t="s">
        <v>20</v>
      </c>
      <c r="D290" s="61"/>
      <c r="E290" s="61"/>
      <c r="F290" s="61"/>
      <c r="G290" s="61"/>
    </row>
    <row r="291" spans="3:10" ht="6" customHeight="1" x14ac:dyDescent="0.25"/>
    <row r="292" spans="3:10" ht="12" customHeight="1" x14ac:dyDescent="0.25">
      <c r="C292" s="62" t="s">
        <v>1</v>
      </c>
      <c r="D292" s="63"/>
      <c r="E292" s="13" t="s">
        <v>35</v>
      </c>
      <c r="F292" s="14" t="s">
        <v>2</v>
      </c>
      <c r="G292" s="15" t="s">
        <v>3</v>
      </c>
    </row>
    <row r="293" spans="3:10" ht="12" customHeight="1" x14ac:dyDescent="0.25">
      <c r="C293" s="16" t="s">
        <v>46</v>
      </c>
      <c r="D293" s="17"/>
      <c r="E293" s="18"/>
      <c r="F293" s="19"/>
      <c r="G293" s="48"/>
    </row>
    <row r="294" spans="3:10" ht="12" customHeight="1" x14ac:dyDescent="0.25">
      <c r="C294" s="16"/>
      <c r="D294" s="17" t="s">
        <v>4</v>
      </c>
      <c r="E294" s="20">
        <v>9494679.3800000008</v>
      </c>
      <c r="G294" s="35"/>
    </row>
    <row r="295" spans="3:10" ht="12" customHeight="1" x14ac:dyDescent="0.25">
      <c r="C295" s="16"/>
      <c r="D295" s="17" t="s">
        <v>5</v>
      </c>
      <c r="E295" s="6">
        <v>3525334.11</v>
      </c>
      <c r="G295" s="35"/>
    </row>
    <row r="296" spans="3:10" ht="12" customHeight="1" x14ac:dyDescent="0.25">
      <c r="C296" s="16"/>
      <c r="D296" s="17" t="s">
        <v>33</v>
      </c>
      <c r="E296" s="6">
        <v>465873.88</v>
      </c>
      <c r="F296" s="23"/>
      <c r="G296" s="35"/>
      <c r="J296" s="45"/>
    </row>
    <row r="297" spans="3:10" ht="12" customHeight="1" x14ac:dyDescent="0.25">
      <c r="C297" s="16"/>
      <c r="D297" s="17" t="s">
        <v>6</v>
      </c>
      <c r="E297" s="6">
        <v>250285.66</v>
      </c>
      <c r="F297" s="23"/>
      <c r="G297" s="35"/>
    </row>
    <row r="298" spans="3:10" ht="12" customHeight="1" x14ac:dyDescent="0.25">
      <c r="C298" s="16"/>
      <c r="D298" s="17" t="s">
        <v>7</v>
      </c>
      <c r="E298" s="6">
        <v>304261.81</v>
      </c>
      <c r="F298" s="23"/>
      <c r="G298" s="35"/>
    </row>
    <row r="299" spans="3:10" ht="12" hidden="1" customHeight="1" x14ac:dyDescent="0.25">
      <c r="C299" s="16"/>
      <c r="D299" s="17" t="s">
        <v>31</v>
      </c>
      <c r="E299" s="6">
        <v>0</v>
      </c>
      <c r="F299" s="23"/>
      <c r="G299" s="35"/>
    </row>
    <row r="300" spans="3:10" ht="12" customHeight="1" x14ac:dyDescent="0.25">
      <c r="C300" s="16"/>
      <c r="D300" s="17" t="s">
        <v>32</v>
      </c>
      <c r="E300" s="6">
        <v>84388.43</v>
      </c>
      <c r="F300" s="23"/>
      <c r="G300" s="35"/>
    </row>
    <row r="301" spans="3:10" ht="12" customHeight="1" x14ac:dyDescent="0.25">
      <c r="C301" s="16"/>
      <c r="D301" s="17" t="s">
        <v>41</v>
      </c>
      <c r="E301" s="6">
        <v>2478909.83</v>
      </c>
      <c r="F301" s="23"/>
      <c r="G301" s="35"/>
      <c r="J301" s="45">
        <f>70.14+0.22+29.64</f>
        <v>100</v>
      </c>
    </row>
    <row r="302" spans="3:10" ht="12" customHeight="1" x14ac:dyDescent="0.25">
      <c r="C302" s="16"/>
      <c r="D302" s="17" t="s">
        <v>36</v>
      </c>
      <c r="E302" s="7">
        <v>2633494</v>
      </c>
      <c r="F302" s="12">
        <f>SUM(E294:E302)</f>
        <v>19237227.100000001</v>
      </c>
      <c r="G302" s="35">
        <f>+F302/F320</f>
        <v>0.70143235550777272</v>
      </c>
    </row>
    <row r="303" spans="3:10" ht="2.4500000000000002" customHeight="1" x14ac:dyDescent="0.25">
      <c r="C303" s="16"/>
      <c r="D303" s="17"/>
      <c r="E303" s="18"/>
      <c r="F303" s="22"/>
      <c r="G303" s="21"/>
    </row>
    <row r="304" spans="3:10" ht="12" hidden="1" customHeight="1" x14ac:dyDescent="0.25">
      <c r="C304" s="16" t="s">
        <v>34</v>
      </c>
      <c r="D304" s="32"/>
      <c r="E304" s="22"/>
      <c r="F304" s="18"/>
      <c r="G304" s="21"/>
    </row>
    <row r="305" spans="3:10" ht="12" hidden="1" customHeight="1" x14ac:dyDescent="0.25">
      <c r="C305" s="16"/>
      <c r="D305" s="33" t="s">
        <v>38</v>
      </c>
      <c r="E305" s="34"/>
      <c r="F305" s="6">
        <v>0</v>
      </c>
      <c r="G305" s="35">
        <f>+F305/F320</f>
        <v>0</v>
      </c>
    </row>
    <row r="306" spans="3:10" ht="12" customHeight="1" x14ac:dyDescent="0.25">
      <c r="C306" s="16" t="s">
        <v>47</v>
      </c>
      <c r="D306" s="32"/>
      <c r="E306" s="22"/>
      <c r="F306" s="23"/>
      <c r="G306" s="35"/>
    </row>
    <row r="307" spans="3:10" ht="12" customHeight="1" x14ac:dyDescent="0.25">
      <c r="C307" s="16"/>
      <c r="D307" s="17" t="s">
        <v>44</v>
      </c>
      <c r="E307" s="12">
        <v>13370.44</v>
      </c>
      <c r="F307" s="6"/>
      <c r="G307" s="5"/>
    </row>
    <row r="308" spans="3:10" ht="12" hidden="1" customHeight="1" x14ac:dyDescent="0.25">
      <c r="C308" s="16"/>
      <c r="D308" s="17" t="s">
        <v>8</v>
      </c>
      <c r="E308" s="22">
        <v>0</v>
      </c>
      <c r="F308" s="24"/>
      <c r="G308" s="49"/>
    </row>
    <row r="309" spans="3:10" ht="12" customHeight="1" x14ac:dyDescent="0.25">
      <c r="C309" s="16"/>
      <c r="D309" s="17" t="s">
        <v>9</v>
      </c>
      <c r="E309" s="25">
        <v>45275.55</v>
      </c>
      <c r="F309" s="25">
        <f>SUM(E307:E310)</f>
        <v>58645.990000000005</v>
      </c>
      <c r="G309" s="26">
        <f>+F309/F320+0.0001</f>
        <v>2.2383640528309445E-3</v>
      </c>
    </row>
    <row r="310" spans="3:10" ht="12" hidden="1" customHeight="1" x14ac:dyDescent="0.25">
      <c r="C310" s="16"/>
      <c r="D310" s="17" t="s">
        <v>42</v>
      </c>
      <c r="E310" s="25">
        <v>0</v>
      </c>
    </row>
    <row r="311" spans="3:10" ht="12" customHeight="1" x14ac:dyDescent="0.25">
      <c r="C311" s="16"/>
      <c r="D311" s="27" t="s">
        <v>37</v>
      </c>
      <c r="E311" s="18"/>
      <c r="F311" s="28">
        <f>SUM(F294:F309)</f>
        <v>19295873.09</v>
      </c>
      <c r="G311" s="29">
        <f>+F311/F320</f>
        <v>0.70357071956060357</v>
      </c>
      <c r="J311" s="45">
        <f>70.36+29.64</f>
        <v>100</v>
      </c>
    </row>
    <row r="312" spans="3:10" ht="6" customHeight="1" x14ac:dyDescent="0.25">
      <c r="C312" s="16"/>
      <c r="D312" s="27"/>
      <c r="E312" s="18"/>
      <c r="F312" s="30"/>
      <c r="G312" s="31"/>
    </row>
    <row r="313" spans="3:10" ht="6" customHeight="1" x14ac:dyDescent="0.25">
      <c r="C313" s="16"/>
      <c r="D313" s="27"/>
      <c r="E313" s="18"/>
      <c r="F313" s="30"/>
      <c r="G313" s="31"/>
    </row>
    <row r="314" spans="3:10" ht="12" customHeight="1" x14ac:dyDescent="0.25">
      <c r="C314" s="16" t="s">
        <v>10</v>
      </c>
      <c r="D314" s="17"/>
      <c r="E314" s="18"/>
      <c r="F314" s="22"/>
      <c r="G314" s="21"/>
    </row>
    <row r="315" spans="3:10" ht="12" customHeight="1" x14ac:dyDescent="0.25">
      <c r="C315" s="16"/>
      <c r="D315" s="17" t="s">
        <v>11</v>
      </c>
      <c r="E315" s="12">
        <v>3625656.93</v>
      </c>
      <c r="F315" s="22"/>
      <c r="G315" s="21"/>
    </row>
    <row r="316" spans="3:10" ht="12" customHeight="1" x14ac:dyDescent="0.25">
      <c r="C316" s="16"/>
      <c r="D316" s="17" t="s">
        <v>12</v>
      </c>
      <c r="E316" s="7">
        <v>4504104.04</v>
      </c>
      <c r="F316" s="25">
        <f>SUM(E315:E316)</f>
        <v>8129760.9700000007</v>
      </c>
      <c r="G316" s="36">
        <f>+F316/F320</f>
        <v>0.29642928043939631</v>
      </c>
    </row>
    <row r="317" spans="3:10" ht="2.25" hidden="1" customHeight="1" x14ac:dyDescent="0.25">
      <c r="C317" s="16"/>
      <c r="D317" s="32"/>
      <c r="E317" s="22"/>
      <c r="F317" s="18"/>
      <c r="G317" s="21"/>
    </row>
    <row r="318" spans="3:10" ht="12" hidden="1" customHeight="1" x14ac:dyDescent="0.25">
      <c r="C318" s="16"/>
      <c r="D318" s="27" t="s">
        <v>37</v>
      </c>
      <c r="E318" s="18"/>
      <c r="F318" s="28">
        <f>SUM(F316)</f>
        <v>8129760.9700000007</v>
      </c>
      <c r="G318" s="29">
        <f>+G316</f>
        <v>0.29642928043939631</v>
      </c>
    </row>
    <row r="319" spans="3:10" ht="2.4500000000000002" hidden="1" customHeight="1" x14ac:dyDescent="0.25">
      <c r="C319" s="16"/>
      <c r="D319" s="32"/>
      <c r="E319" s="22"/>
      <c r="F319" s="18"/>
      <c r="G319" s="21"/>
    </row>
    <row r="320" spans="3:10" ht="13.5" customHeight="1" thickBot="1" x14ac:dyDescent="0.3">
      <c r="C320" s="16"/>
      <c r="D320" s="37" t="s">
        <v>13</v>
      </c>
      <c r="E320" s="22"/>
      <c r="F320" s="38">
        <f>+F311+F318</f>
        <v>27425634.060000002</v>
      </c>
      <c r="G320" s="39">
        <f>+G311+G318</f>
        <v>0.99999999999999989</v>
      </c>
    </row>
    <row r="321" spans="3:10" ht="6" customHeight="1" thickTop="1" x14ac:dyDescent="0.25">
      <c r="C321" s="40"/>
      <c r="D321" s="41"/>
      <c r="E321" s="42"/>
      <c r="F321" s="42"/>
      <c r="G321" s="36"/>
    </row>
    <row r="322" spans="3:10" x14ac:dyDescent="0.25">
      <c r="C322" s="8"/>
      <c r="D322" s="9"/>
      <c r="E322" s="10"/>
      <c r="F322" s="10"/>
      <c r="G322" s="11"/>
    </row>
    <row r="323" spans="3:10" x14ac:dyDescent="0.25">
      <c r="C323" s="8"/>
      <c r="D323" s="9"/>
      <c r="E323" s="10"/>
      <c r="F323" s="10"/>
      <c r="G323" s="11"/>
    </row>
    <row r="324" spans="3:10" ht="16.5" x14ac:dyDescent="0.3">
      <c r="C324" s="61" t="s">
        <v>21</v>
      </c>
      <c r="D324" s="61"/>
      <c r="E324" s="61"/>
      <c r="F324" s="61"/>
      <c r="G324" s="61"/>
    </row>
    <row r="325" spans="3:10" ht="6" customHeight="1" x14ac:dyDescent="0.25"/>
    <row r="326" spans="3:10" ht="12" customHeight="1" x14ac:dyDescent="0.25">
      <c r="C326" s="62" t="s">
        <v>1</v>
      </c>
      <c r="D326" s="63"/>
      <c r="E326" s="13" t="s">
        <v>35</v>
      </c>
      <c r="F326" s="14" t="s">
        <v>2</v>
      </c>
      <c r="G326" s="15" t="s">
        <v>3</v>
      </c>
    </row>
    <row r="327" spans="3:10" ht="12" customHeight="1" x14ac:dyDescent="0.25">
      <c r="C327" s="16" t="s">
        <v>46</v>
      </c>
      <c r="D327" s="17"/>
      <c r="E327" s="18"/>
      <c r="F327" s="19"/>
      <c r="G327" s="48"/>
    </row>
    <row r="328" spans="3:10" ht="12" customHeight="1" x14ac:dyDescent="0.25">
      <c r="C328" s="16"/>
      <c r="D328" s="17" t="s">
        <v>4</v>
      </c>
      <c r="E328" s="20">
        <v>13231890.109999999</v>
      </c>
      <c r="G328" s="35"/>
    </row>
    <row r="329" spans="3:10" ht="12" customHeight="1" x14ac:dyDescent="0.25">
      <c r="C329" s="16"/>
      <c r="D329" s="17" t="s">
        <v>5</v>
      </c>
      <c r="E329" s="6">
        <v>4940592.83</v>
      </c>
      <c r="G329" s="35"/>
    </row>
    <row r="330" spans="3:10" ht="12" customHeight="1" x14ac:dyDescent="0.25">
      <c r="C330" s="16"/>
      <c r="D330" s="17" t="s">
        <v>33</v>
      </c>
      <c r="E330" s="6">
        <v>402620.82</v>
      </c>
      <c r="F330" s="23"/>
      <c r="G330" s="35"/>
    </row>
    <row r="331" spans="3:10" ht="12" customHeight="1" x14ac:dyDescent="0.25">
      <c r="C331" s="16"/>
      <c r="D331" s="17" t="s">
        <v>6</v>
      </c>
      <c r="E331" s="6">
        <v>446885.71</v>
      </c>
      <c r="F331" s="23"/>
      <c r="G331" s="35"/>
    </row>
    <row r="332" spans="3:10" ht="12" customHeight="1" x14ac:dyDescent="0.25">
      <c r="C332" s="16"/>
      <c r="D332" s="17" t="s">
        <v>7</v>
      </c>
      <c r="E332" s="6">
        <v>548156.32999999996</v>
      </c>
      <c r="F332" s="23"/>
      <c r="G332" s="35"/>
    </row>
    <row r="333" spans="3:10" ht="12" hidden="1" customHeight="1" x14ac:dyDescent="0.25">
      <c r="C333" s="16"/>
      <c r="D333" s="17" t="s">
        <v>31</v>
      </c>
      <c r="E333" s="6">
        <v>0</v>
      </c>
      <c r="F333" s="23"/>
      <c r="G333" s="35"/>
    </row>
    <row r="334" spans="3:10" ht="12" customHeight="1" x14ac:dyDescent="0.25">
      <c r="C334" s="16"/>
      <c r="D334" s="17" t="s">
        <v>32</v>
      </c>
      <c r="E334" s="6">
        <v>107507.39</v>
      </c>
      <c r="F334" s="56"/>
      <c r="G334" s="5"/>
    </row>
    <row r="335" spans="3:10" ht="12" customHeight="1" x14ac:dyDescent="0.25">
      <c r="C335" s="16"/>
      <c r="D335" s="17" t="s">
        <v>41</v>
      </c>
      <c r="E335" s="6">
        <v>3247928.46</v>
      </c>
      <c r="F335" s="23"/>
      <c r="G335" s="35"/>
    </row>
    <row r="336" spans="3:10" ht="12" customHeight="1" x14ac:dyDescent="0.25">
      <c r="C336" s="16"/>
      <c r="D336" s="17" t="s">
        <v>36</v>
      </c>
      <c r="E336" s="7">
        <v>7946288</v>
      </c>
      <c r="F336" s="12">
        <f>SUM(E328:E336)</f>
        <v>30871869.649999999</v>
      </c>
      <c r="G336" s="35">
        <f>+F336/F354</f>
        <v>0.74231500615912349</v>
      </c>
      <c r="J336" s="45">
        <f>74.23+0.57+0.02+25.18</f>
        <v>100</v>
      </c>
    </row>
    <row r="337" spans="3:10" ht="2.4500000000000002" customHeight="1" x14ac:dyDescent="0.25">
      <c r="C337" s="16"/>
      <c r="D337" s="17"/>
      <c r="E337" s="18"/>
      <c r="F337" s="22"/>
      <c r="G337" s="21"/>
    </row>
    <row r="338" spans="3:10" ht="12" customHeight="1" x14ac:dyDescent="0.25">
      <c r="C338" s="16" t="s">
        <v>34</v>
      </c>
      <c r="D338" s="32"/>
      <c r="E338" s="22"/>
      <c r="F338" s="18"/>
      <c r="G338" s="21"/>
    </row>
    <row r="339" spans="3:10" ht="12" customHeight="1" x14ac:dyDescent="0.25">
      <c r="C339" s="16"/>
      <c r="D339" s="33" t="s">
        <v>38</v>
      </c>
      <c r="E339" s="34"/>
      <c r="F339" s="6">
        <v>236268</v>
      </c>
      <c r="G339" s="35">
        <f>+F339/F354</f>
        <v>5.6810709511143521E-3</v>
      </c>
    </row>
    <row r="340" spans="3:10" ht="12" customHeight="1" x14ac:dyDescent="0.25">
      <c r="C340" s="16" t="s">
        <v>47</v>
      </c>
      <c r="D340" s="32"/>
      <c r="E340" s="22"/>
      <c r="F340" s="23"/>
      <c r="G340" s="35"/>
    </row>
    <row r="341" spans="3:10" ht="12" customHeight="1" x14ac:dyDescent="0.25">
      <c r="C341" s="16"/>
      <c r="D341" s="17" t="s">
        <v>44</v>
      </c>
      <c r="E341" s="12"/>
      <c r="F341" s="25">
        <v>8263.81</v>
      </c>
      <c r="G341" s="26">
        <f>+F341/F354</f>
        <v>1.9870355247654482E-4</v>
      </c>
    </row>
    <row r="342" spans="3:10" ht="12" hidden="1" customHeight="1" x14ac:dyDescent="0.25">
      <c r="C342" s="16"/>
      <c r="D342" s="17" t="s">
        <v>8</v>
      </c>
      <c r="E342" s="22">
        <v>0</v>
      </c>
      <c r="F342" s="24"/>
      <c r="G342" s="49"/>
    </row>
    <row r="343" spans="3:10" ht="12" hidden="1" customHeight="1" x14ac:dyDescent="0.25">
      <c r="C343" s="16"/>
      <c r="D343" s="17" t="s">
        <v>9</v>
      </c>
      <c r="E343" s="22">
        <v>0</v>
      </c>
      <c r="F343" s="2"/>
      <c r="G343" s="51"/>
    </row>
    <row r="344" spans="3:10" ht="12" hidden="1" customHeight="1" x14ac:dyDescent="0.25">
      <c r="C344" s="16"/>
      <c r="D344" s="17" t="s">
        <v>42</v>
      </c>
      <c r="E344" s="25"/>
    </row>
    <row r="345" spans="3:10" ht="12" customHeight="1" x14ac:dyDescent="0.25">
      <c r="C345" s="16"/>
      <c r="D345" s="27" t="s">
        <v>37</v>
      </c>
      <c r="E345" s="18"/>
      <c r="F345" s="28">
        <f>SUM(F328:F341)</f>
        <v>31116401.459999997</v>
      </c>
      <c r="G345" s="29">
        <f>+F345/F354</f>
        <v>0.74819478066271439</v>
      </c>
      <c r="J345" s="45">
        <f>74.82+25.18</f>
        <v>100</v>
      </c>
    </row>
    <row r="346" spans="3:10" ht="6" customHeight="1" x14ac:dyDescent="0.25">
      <c r="C346" s="16"/>
      <c r="D346" s="27"/>
      <c r="E346" s="18"/>
      <c r="F346" s="30"/>
      <c r="G346" s="31"/>
    </row>
    <row r="347" spans="3:10" ht="6" customHeight="1" x14ac:dyDescent="0.25">
      <c r="C347" s="16"/>
      <c r="D347" s="27"/>
      <c r="E347" s="18"/>
      <c r="F347" s="30"/>
      <c r="G347" s="31"/>
    </row>
    <row r="348" spans="3:10" ht="12" customHeight="1" x14ac:dyDescent="0.25">
      <c r="C348" s="16" t="s">
        <v>10</v>
      </c>
      <c r="D348" s="17"/>
      <c r="E348" s="18"/>
      <c r="F348" s="22"/>
      <c r="G348" s="21"/>
    </row>
    <row r="349" spans="3:10" ht="12" customHeight="1" x14ac:dyDescent="0.25">
      <c r="C349" s="16"/>
      <c r="D349" s="17" t="s">
        <v>11</v>
      </c>
      <c r="E349" s="12">
        <v>2466512.66</v>
      </c>
      <c r="F349" s="22"/>
      <c r="G349" s="21"/>
    </row>
    <row r="350" spans="3:10" ht="12" customHeight="1" x14ac:dyDescent="0.25">
      <c r="C350" s="16"/>
      <c r="D350" s="17" t="s">
        <v>12</v>
      </c>
      <c r="E350" s="7">
        <v>8005723.3099999996</v>
      </c>
      <c r="F350" s="25">
        <f>SUM(E349:E350)</f>
        <v>10472235.969999999</v>
      </c>
      <c r="G350" s="36">
        <f>+F350/F354</f>
        <v>0.25180521933728572</v>
      </c>
    </row>
    <row r="351" spans="3:10" ht="2.25" hidden="1" customHeight="1" x14ac:dyDescent="0.25">
      <c r="C351" s="16"/>
      <c r="D351" s="32"/>
      <c r="E351" s="22"/>
      <c r="F351" s="18"/>
      <c r="G351" s="21"/>
    </row>
    <row r="352" spans="3:10" ht="12" hidden="1" customHeight="1" x14ac:dyDescent="0.25">
      <c r="C352" s="16"/>
      <c r="D352" s="27" t="s">
        <v>37</v>
      </c>
      <c r="E352" s="18"/>
      <c r="F352" s="28">
        <f>SUM(F350)</f>
        <v>10472235.969999999</v>
      </c>
      <c r="G352" s="29">
        <f>+G350</f>
        <v>0.25180521933728572</v>
      </c>
    </row>
    <row r="353" spans="3:10" ht="2.4500000000000002" hidden="1" customHeight="1" x14ac:dyDescent="0.25">
      <c r="C353" s="16"/>
      <c r="D353" s="32"/>
      <c r="E353" s="22"/>
      <c r="F353" s="18"/>
      <c r="G353" s="21"/>
    </row>
    <row r="354" spans="3:10" ht="13.5" customHeight="1" thickBot="1" x14ac:dyDescent="0.3">
      <c r="C354" s="16"/>
      <c r="D354" s="37" t="s">
        <v>13</v>
      </c>
      <c r="E354" s="22"/>
      <c r="F354" s="38">
        <f>+F345+F350</f>
        <v>41588637.429999992</v>
      </c>
      <c r="G354" s="39">
        <f>+G345+G352</f>
        <v>1</v>
      </c>
    </row>
    <row r="355" spans="3:10" ht="6" customHeight="1" thickTop="1" x14ac:dyDescent="0.25">
      <c r="C355" s="40"/>
      <c r="D355" s="41"/>
      <c r="E355" s="42"/>
      <c r="F355" s="42"/>
      <c r="G355" s="36"/>
    </row>
    <row r="356" spans="3:10" ht="12" customHeight="1" x14ac:dyDescent="0.25">
      <c r="C356" s="52"/>
      <c r="D356" s="32"/>
      <c r="E356" s="44"/>
      <c r="F356" s="44"/>
      <c r="G356" s="53"/>
    </row>
    <row r="357" spans="3:10" x14ac:dyDescent="0.25">
      <c r="D357" s="2" t="s">
        <v>45</v>
      </c>
      <c r="E357" s="43"/>
    </row>
    <row r="358" spans="3:10" ht="16.5" x14ac:dyDescent="0.3">
      <c r="C358" s="61" t="s">
        <v>40</v>
      </c>
      <c r="D358" s="61"/>
      <c r="E358" s="61"/>
      <c r="F358" s="61"/>
      <c r="G358" s="61"/>
    </row>
    <row r="359" spans="3:10" ht="6" customHeight="1" x14ac:dyDescent="0.25"/>
    <row r="360" spans="3:10" ht="12" customHeight="1" x14ac:dyDescent="0.25">
      <c r="C360" s="62" t="s">
        <v>1</v>
      </c>
      <c r="D360" s="63"/>
      <c r="E360" s="13" t="s">
        <v>35</v>
      </c>
      <c r="F360" s="14" t="s">
        <v>2</v>
      </c>
      <c r="G360" s="15" t="s">
        <v>3</v>
      </c>
    </row>
    <row r="361" spans="3:10" ht="12" customHeight="1" x14ac:dyDescent="0.25">
      <c r="C361" s="16" t="s">
        <v>46</v>
      </c>
      <c r="D361" s="17"/>
      <c r="E361" s="18"/>
      <c r="F361" s="19"/>
      <c r="G361" s="48"/>
    </row>
    <row r="362" spans="3:10" ht="12" customHeight="1" x14ac:dyDescent="0.25">
      <c r="C362" s="16"/>
      <c r="D362" s="17" t="s">
        <v>4</v>
      </c>
      <c r="E362" s="20">
        <v>8039135.7999999998</v>
      </c>
      <c r="G362" s="35"/>
    </row>
    <row r="363" spans="3:10" ht="12" customHeight="1" x14ac:dyDescent="0.25">
      <c r="C363" s="16"/>
      <c r="D363" s="17" t="s">
        <v>5</v>
      </c>
      <c r="E363" s="6">
        <v>2962814.31</v>
      </c>
      <c r="G363" s="35"/>
    </row>
    <row r="364" spans="3:10" ht="12" customHeight="1" x14ac:dyDescent="0.25">
      <c r="C364" s="16"/>
      <c r="D364" s="17" t="s">
        <v>33</v>
      </c>
      <c r="E364" s="6">
        <v>505849.83</v>
      </c>
      <c r="F364" s="23"/>
      <c r="G364" s="35"/>
      <c r="J364" s="45"/>
    </row>
    <row r="365" spans="3:10" ht="12" customHeight="1" x14ac:dyDescent="0.25">
      <c r="C365" s="16"/>
      <c r="D365" s="17" t="s">
        <v>6</v>
      </c>
      <c r="E365" s="6">
        <v>254385.17</v>
      </c>
      <c r="F365" s="23"/>
      <c r="G365" s="35"/>
    </row>
    <row r="366" spans="3:10" ht="12" customHeight="1" x14ac:dyDescent="0.25">
      <c r="C366" s="16"/>
      <c r="D366" s="17" t="s">
        <v>7</v>
      </c>
      <c r="E366" s="6">
        <v>314990.15999999997</v>
      </c>
      <c r="F366" s="23"/>
      <c r="G366" s="35"/>
    </row>
    <row r="367" spans="3:10" ht="12" hidden="1" customHeight="1" x14ac:dyDescent="0.25">
      <c r="C367" s="16"/>
      <c r="D367" s="17" t="s">
        <v>31</v>
      </c>
      <c r="E367" s="6">
        <v>0</v>
      </c>
      <c r="F367" s="23"/>
      <c r="G367" s="35"/>
    </row>
    <row r="368" spans="3:10" ht="12" customHeight="1" x14ac:dyDescent="0.25">
      <c r="C368" s="16"/>
      <c r="D368" s="17" t="s">
        <v>32</v>
      </c>
      <c r="E368" s="6">
        <v>73399.91</v>
      </c>
      <c r="F368" s="23"/>
      <c r="G368" s="35"/>
    </row>
    <row r="369" spans="3:10" ht="12" customHeight="1" x14ac:dyDescent="0.25">
      <c r="C369" s="16"/>
      <c r="D369" s="17" t="s">
        <v>41</v>
      </c>
      <c r="E369" s="6">
        <v>2185698.96</v>
      </c>
      <c r="F369" s="23"/>
      <c r="G369" s="35"/>
    </row>
    <row r="370" spans="3:10" ht="12" customHeight="1" x14ac:dyDescent="0.25">
      <c r="C370" s="16"/>
      <c r="D370" s="17" t="s">
        <v>36</v>
      </c>
      <c r="E370" s="7">
        <v>1830470</v>
      </c>
      <c r="F370" s="12">
        <f>SUM(E362:E370)</f>
        <v>16166744.140000001</v>
      </c>
      <c r="G370" s="35">
        <f>+F370/F388</f>
        <v>0.71075987761628223</v>
      </c>
    </row>
    <row r="371" spans="3:10" ht="2.4500000000000002" customHeight="1" x14ac:dyDescent="0.25">
      <c r="C371" s="16"/>
      <c r="D371" s="17"/>
      <c r="E371" s="18"/>
      <c r="F371" s="22"/>
      <c r="G371" s="21"/>
    </row>
    <row r="372" spans="3:10" ht="12" hidden="1" customHeight="1" x14ac:dyDescent="0.25">
      <c r="C372" s="16" t="s">
        <v>34</v>
      </c>
      <c r="D372" s="32"/>
      <c r="E372" s="22"/>
      <c r="F372" s="18"/>
      <c r="G372" s="21"/>
    </row>
    <row r="373" spans="3:10" ht="12" hidden="1" customHeight="1" x14ac:dyDescent="0.25">
      <c r="C373" s="16"/>
      <c r="D373" s="33" t="s">
        <v>38</v>
      </c>
      <c r="E373" s="34"/>
      <c r="F373" s="6">
        <v>0</v>
      </c>
      <c r="G373" s="35">
        <f>+F373/F388</f>
        <v>0</v>
      </c>
    </row>
    <row r="374" spans="3:10" ht="12" customHeight="1" x14ac:dyDescent="0.25">
      <c r="C374" s="16" t="s">
        <v>47</v>
      </c>
      <c r="D374" s="32"/>
      <c r="E374" s="22"/>
      <c r="F374" s="23"/>
      <c r="G374" s="35"/>
      <c r="J374" s="45">
        <f>71.08+0.31+28.61</f>
        <v>100</v>
      </c>
    </row>
    <row r="375" spans="3:10" ht="12" customHeight="1" x14ac:dyDescent="0.25">
      <c r="C375" s="16"/>
      <c r="D375" s="17" t="s">
        <v>44</v>
      </c>
      <c r="E375" s="12">
        <v>13108.16</v>
      </c>
      <c r="F375" s="6"/>
      <c r="G375" s="5"/>
    </row>
    <row r="376" spans="3:10" ht="12" hidden="1" customHeight="1" x14ac:dyDescent="0.25">
      <c r="C376" s="16"/>
      <c r="D376" s="17" t="s">
        <v>8</v>
      </c>
      <c r="E376" s="22">
        <v>0</v>
      </c>
      <c r="F376" s="24"/>
      <c r="G376" s="49"/>
    </row>
    <row r="377" spans="3:10" ht="12" customHeight="1" x14ac:dyDescent="0.25">
      <c r="C377" s="16"/>
      <c r="D377" s="17" t="s">
        <v>9</v>
      </c>
      <c r="E377" s="25">
        <v>59330.239999999998</v>
      </c>
      <c r="F377" s="25">
        <f>SUM(E375:E378)</f>
        <v>72438.399999999994</v>
      </c>
      <c r="G377" s="26">
        <f>+F377/F388-0.0001</f>
        <v>3.0847048405579142E-3</v>
      </c>
    </row>
    <row r="378" spans="3:10" ht="12" hidden="1" customHeight="1" x14ac:dyDescent="0.25">
      <c r="C378" s="16"/>
      <c r="D378" s="17" t="s">
        <v>42</v>
      </c>
      <c r="E378" s="25">
        <v>0</v>
      </c>
    </row>
    <row r="379" spans="3:10" ht="12" customHeight="1" x14ac:dyDescent="0.25">
      <c r="C379" s="16"/>
      <c r="D379" s="27" t="s">
        <v>37</v>
      </c>
      <c r="E379" s="18"/>
      <c r="F379" s="28">
        <f>SUM(F362:F377)</f>
        <v>16239182.540000001</v>
      </c>
      <c r="G379" s="29">
        <f>+F379/F388</f>
        <v>0.71394458245684012</v>
      </c>
      <c r="J379" s="45">
        <f>71.39+28.61</f>
        <v>100</v>
      </c>
    </row>
    <row r="380" spans="3:10" ht="6" customHeight="1" x14ac:dyDescent="0.25">
      <c r="C380" s="16"/>
      <c r="D380" s="27"/>
      <c r="E380" s="18"/>
      <c r="F380" s="30"/>
      <c r="G380" s="31"/>
    </row>
    <row r="381" spans="3:10" ht="6" customHeight="1" x14ac:dyDescent="0.25">
      <c r="C381" s="16"/>
      <c r="D381" s="27"/>
      <c r="E381" s="18"/>
      <c r="F381" s="30"/>
      <c r="G381" s="31"/>
    </row>
    <row r="382" spans="3:10" ht="12" customHeight="1" x14ac:dyDescent="0.25">
      <c r="C382" s="16" t="s">
        <v>10</v>
      </c>
      <c r="D382" s="17"/>
      <c r="E382" s="18"/>
      <c r="F382" s="22"/>
      <c r="G382" s="21"/>
    </row>
    <row r="383" spans="3:10" ht="12" customHeight="1" x14ac:dyDescent="0.25">
      <c r="C383" s="16"/>
      <c r="D383" s="17" t="s">
        <v>11</v>
      </c>
      <c r="E383" s="12">
        <v>2232888.91</v>
      </c>
      <c r="F383" s="22"/>
      <c r="G383" s="21"/>
    </row>
    <row r="384" spans="3:10" ht="12" customHeight="1" x14ac:dyDescent="0.25">
      <c r="C384" s="16"/>
      <c r="D384" s="17" t="s">
        <v>12</v>
      </c>
      <c r="E384" s="7">
        <v>4273647.1100000003</v>
      </c>
      <c r="F384" s="25">
        <f>SUM(E383:E384)</f>
        <v>6506536.0200000005</v>
      </c>
      <c r="G384" s="36">
        <f>+F384/F388</f>
        <v>0.28605541754315983</v>
      </c>
    </row>
    <row r="385" spans="3:7" ht="2.25" hidden="1" customHeight="1" x14ac:dyDescent="0.25">
      <c r="C385" s="16"/>
      <c r="D385" s="32"/>
      <c r="E385" s="22"/>
      <c r="F385" s="18"/>
      <c r="G385" s="21"/>
    </row>
    <row r="386" spans="3:7" ht="12" hidden="1" customHeight="1" x14ac:dyDescent="0.25">
      <c r="C386" s="16"/>
      <c r="D386" s="27" t="s">
        <v>37</v>
      </c>
      <c r="E386" s="18"/>
      <c r="F386" s="28">
        <f>SUM(F384)</f>
        <v>6506536.0200000005</v>
      </c>
      <c r="G386" s="29">
        <f>+G384</f>
        <v>0.28605541754315983</v>
      </c>
    </row>
    <row r="387" spans="3:7" ht="2.4500000000000002" hidden="1" customHeight="1" x14ac:dyDescent="0.25">
      <c r="C387" s="16"/>
      <c r="D387" s="32"/>
      <c r="E387" s="22"/>
      <c r="F387" s="18"/>
      <c r="G387" s="21"/>
    </row>
    <row r="388" spans="3:7" ht="13.5" customHeight="1" thickBot="1" x14ac:dyDescent="0.3">
      <c r="C388" s="16"/>
      <c r="D388" s="37" t="s">
        <v>13</v>
      </c>
      <c r="E388" s="22"/>
      <c r="F388" s="38">
        <f>+F379+F386</f>
        <v>22745718.560000002</v>
      </c>
      <c r="G388" s="39">
        <f>+G379+G386</f>
        <v>1</v>
      </c>
    </row>
    <row r="389" spans="3:7" ht="6" customHeight="1" thickTop="1" x14ac:dyDescent="0.25">
      <c r="C389" s="40"/>
      <c r="D389" s="41"/>
      <c r="E389" s="42"/>
      <c r="F389" s="42"/>
      <c r="G389" s="36"/>
    </row>
    <row r="390" spans="3:7" x14ac:dyDescent="0.25">
      <c r="C390" s="8"/>
      <c r="D390" s="9"/>
      <c r="E390" s="10"/>
      <c r="F390" s="10"/>
      <c r="G390" s="11"/>
    </row>
    <row r="391" spans="3:7" x14ac:dyDescent="0.25">
      <c r="C391" s="8"/>
      <c r="D391" s="9"/>
      <c r="E391" s="10"/>
      <c r="F391" s="10"/>
      <c r="G391" s="11"/>
    </row>
    <row r="392" spans="3:7" ht="16.5" x14ac:dyDescent="0.3">
      <c r="C392" s="61" t="s">
        <v>22</v>
      </c>
      <c r="D392" s="61"/>
      <c r="E392" s="61"/>
      <c r="F392" s="61"/>
      <c r="G392" s="61"/>
    </row>
    <row r="393" spans="3:7" ht="6" customHeight="1" x14ac:dyDescent="0.25"/>
    <row r="394" spans="3:7" ht="12" customHeight="1" x14ac:dyDescent="0.25">
      <c r="C394" s="62" t="s">
        <v>1</v>
      </c>
      <c r="D394" s="63"/>
      <c r="E394" s="13" t="s">
        <v>35</v>
      </c>
      <c r="F394" s="14" t="s">
        <v>2</v>
      </c>
      <c r="G394" s="15" t="s">
        <v>3</v>
      </c>
    </row>
    <row r="395" spans="3:7" ht="12" customHeight="1" x14ac:dyDescent="0.25">
      <c r="C395" s="16" t="s">
        <v>46</v>
      </c>
      <c r="D395" s="17"/>
      <c r="E395" s="18"/>
      <c r="F395" s="19"/>
      <c r="G395" s="48"/>
    </row>
    <row r="396" spans="3:7" ht="12" customHeight="1" x14ac:dyDescent="0.25">
      <c r="C396" s="16"/>
      <c r="D396" s="17" t="s">
        <v>4</v>
      </c>
      <c r="E396" s="20">
        <v>23059297.059999999</v>
      </c>
      <c r="G396" s="35"/>
    </row>
    <row r="397" spans="3:7" ht="12" customHeight="1" x14ac:dyDescent="0.25">
      <c r="C397" s="16"/>
      <c r="D397" s="17" t="s">
        <v>5</v>
      </c>
      <c r="E397" s="6">
        <v>10333007.07</v>
      </c>
      <c r="G397" s="35"/>
    </row>
    <row r="398" spans="3:7" ht="12" customHeight="1" x14ac:dyDescent="0.25">
      <c r="C398" s="16"/>
      <c r="D398" s="17" t="s">
        <v>33</v>
      </c>
      <c r="E398" s="6">
        <v>334813.53000000003</v>
      </c>
      <c r="F398" s="23"/>
      <c r="G398" s="35"/>
    </row>
    <row r="399" spans="3:7" ht="12" customHeight="1" x14ac:dyDescent="0.25">
      <c r="C399" s="16"/>
      <c r="D399" s="17" t="s">
        <v>6</v>
      </c>
      <c r="E399" s="6">
        <v>1002684.81</v>
      </c>
      <c r="F399" s="23"/>
      <c r="G399" s="35"/>
    </row>
    <row r="400" spans="3:7" ht="12" customHeight="1" x14ac:dyDescent="0.25">
      <c r="C400" s="16"/>
      <c r="D400" s="17" t="s">
        <v>7</v>
      </c>
      <c r="E400" s="6">
        <v>1258869.24</v>
      </c>
      <c r="F400" s="23"/>
      <c r="G400" s="35"/>
    </row>
    <row r="401" spans="3:10" ht="12" hidden="1" customHeight="1" x14ac:dyDescent="0.25">
      <c r="C401" s="16"/>
      <c r="D401" s="17" t="s">
        <v>31</v>
      </c>
      <c r="E401" s="6">
        <v>0</v>
      </c>
      <c r="F401" s="23"/>
      <c r="G401" s="35"/>
    </row>
    <row r="402" spans="3:10" ht="12" customHeight="1" x14ac:dyDescent="0.25">
      <c r="C402" s="16"/>
      <c r="D402" s="17" t="s">
        <v>32</v>
      </c>
      <c r="E402" s="6">
        <v>153192.60999999999</v>
      </c>
      <c r="F402" s="23"/>
      <c r="G402" s="35"/>
    </row>
    <row r="403" spans="3:10" ht="12" customHeight="1" x14ac:dyDescent="0.25">
      <c r="C403" s="16"/>
      <c r="D403" s="17" t="s">
        <v>41</v>
      </c>
      <c r="E403" s="6">
        <v>4884010.8600000003</v>
      </c>
      <c r="F403" s="23"/>
      <c r="G403" s="35"/>
    </row>
    <row r="404" spans="3:10" ht="12" customHeight="1" x14ac:dyDescent="0.25">
      <c r="C404" s="16"/>
      <c r="D404" s="17" t="s">
        <v>36</v>
      </c>
      <c r="E404" s="7">
        <v>3057464</v>
      </c>
      <c r="F404" s="12">
        <f>SUM(E396:E404)</f>
        <v>44083339.18</v>
      </c>
      <c r="G404" s="35">
        <f>+F404/F422+0.0001</f>
        <v>0.64327721855929654</v>
      </c>
      <c r="J404" s="45"/>
    </row>
    <row r="405" spans="3:10" ht="2.4500000000000002" customHeight="1" x14ac:dyDescent="0.25">
      <c r="C405" s="16"/>
      <c r="D405" s="17"/>
      <c r="E405" s="18"/>
      <c r="F405" s="22"/>
      <c r="G405" s="21"/>
    </row>
    <row r="406" spans="3:10" ht="12" customHeight="1" x14ac:dyDescent="0.25">
      <c r="C406" s="16" t="s">
        <v>34</v>
      </c>
      <c r="D406" s="32"/>
      <c r="E406" s="22"/>
      <c r="F406" s="18"/>
      <c r="G406" s="21"/>
    </row>
    <row r="407" spans="3:10" ht="12" customHeight="1" x14ac:dyDescent="0.25">
      <c r="C407" s="16"/>
      <c r="D407" s="33" t="s">
        <v>38</v>
      </c>
      <c r="E407" s="34"/>
      <c r="F407" s="6">
        <v>9081</v>
      </c>
      <c r="G407" s="35">
        <f>+F407/F422</f>
        <v>1.3249205777920775E-4</v>
      </c>
    </row>
    <row r="408" spans="3:10" ht="12" customHeight="1" x14ac:dyDescent="0.25">
      <c r="C408" s="16" t="s">
        <v>47</v>
      </c>
      <c r="D408" s="32"/>
      <c r="E408" s="22"/>
      <c r="F408" s="23"/>
      <c r="G408" s="35"/>
      <c r="J408" s="45">
        <f>64.33+0.01+1.55+34.11</f>
        <v>100</v>
      </c>
    </row>
    <row r="409" spans="3:10" ht="12" customHeight="1" x14ac:dyDescent="0.25">
      <c r="C409" s="16"/>
      <c r="D409" s="17" t="s">
        <v>44</v>
      </c>
      <c r="E409" s="12">
        <v>24440.39</v>
      </c>
      <c r="F409" s="6"/>
      <c r="G409" s="5"/>
    </row>
    <row r="410" spans="3:10" ht="12" customHeight="1" x14ac:dyDescent="0.25">
      <c r="C410" s="16"/>
      <c r="D410" s="17" t="s">
        <v>8</v>
      </c>
      <c r="E410" s="22">
        <v>535477.37</v>
      </c>
      <c r="F410" s="24"/>
      <c r="G410" s="49"/>
    </row>
    <row r="411" spans="3:10" ht="12" customHeight="1" x14ac:dyDescent="0.25">
      <c r="C411" s="16"/>
      <c r="D411" s="17" t="s">
        <v>9</v>
      </c>
      <c r="E411" s="25">
        <v>505703.71</v>
      </c>
      <c r="F411" s="25">
        <f>SUM(E409:E412)</f>
        <v>1065621.47</v>
      </c>
      <c r="G411" s="26">
        <f>+F411/F422</f>
        <v>1.5547448670190979E-2</v>
      </c>
    </row>
    <row r="412" spans="3:10" ht="12" hidden="1" customHeight="1" x14ac:dyDescent="0.25">
      <c r="C412" s="16"/>
      <c r="D412" s="17" t="s">
        <v>42</v>
      </c>
      <c r="E412" s="25">
        <v>0</v>
      </c>
    </row>
    <row r="413" spans="3:10" ht="12" customHeight="1" x14ac:dyDescent="0.25">
      <c r="C413" s="16"/>
      <c r="D413" s="27" t="s">
        <v>37</v>
      </c>
      <c r="E413" s="18"/>
      <c r="F413" s="28">
        <f>SUM(F396:F411)</f>
        <v>45158041.649999999</v>
      </c>
      <c r="G413" s="29">
        <f>+F413/F422</f>
        <v>0.65885715928726674</v>
      </c>
      <c r="J413" s="45">
        <f>65.89+34.11</f>
        <v>100</v>
      </c>
    </row>
    <row r="414" spans="3:10" ht="6" customHeight="1" x14ac:dyDescent="0.25">
      <c r="C414" s="16"/>
      <c r="D414" s="27"/>
      <c r="E414" s="18"/>
      <c r="F414" s="30"/>
      <c r="G414" s="31"/>
    </row>
    <row r="415" spans="3:10" ht="6" customHeight="1" x14ac:dyDescent="0.25">
      <c r="C415" s="16"/>
      <c r="D415" s="27"/>
      <c r="E415" s="18"/>
      <c r="F415" s="30"/>
      <c r="G415" s="31"/>
    </row>
    <row r="416" spans="3:10" ht="12" customHeight="1" x14ac:dyDescent="0.25">
      <c r="C416" s="16" t="s">
        <v>10</v>
      </c>
      <c r="D416" s="17"/>
      <c r="E416" s="18"/>
      <c r="F416" s="22"/>
      <c r="G416" s="21"/>
    </row>
    <row r="417" spans="3:7" ht="12" customHeight="1" x14ac:dyDescent="0.25">
      <c r="C417" s="16"/>
      <c r="D417" s="17" t="s">
        <v>11</v>
      </c>
      <c r="E417" s="12">
        <v>5575238.6399999997</v>
      </c>
      <c r="F417" s="22"/>
      <c r="G417" s="21"/>
    </row>
    <row r="418" spans="3:7" ht="12" customHeight="1" x14ac:dyDescent="0.25">
      <c r="C418" s="16"/>
      <c r="D418" s="17" t="s">
        <v>12</v>
      </c>
      <c r="E418" s="7">
        <v>17806677.140000001</v>
      </c>
      <c r="F418" s="25">
        <f>SUM(E417:E418)</f>
        <v>23381915.780000001</v>
      </c>
      <c r="G418" s="36">
        <f>+F418/F422</f>
        <v>0.3411428407127331</v>
      </c>
    </row>
    <row r="419" spans="3:7" ht="2.25" hidden="1" customHeight="1" x14ac:dyDescent="0.25">
      <c r="C419" s="16"/>
      <c r="D419" s="32"/>
      <c r="E419" s="22"/>
      <c r="F419" s="18"/>
      <c r="G419" s="21"/>
    </row>
    <row r="420" spans="3:7" ht="12" hidden="1" customHeight="1" x14ac:dyDescent="0.25">
      <c r="C420" s="16"/>
      <c r="D420" s="27" t="s">
        <v>37</v>
      </c>
      <c r="E420" s="18"/>
      <c r="F420" s="28">
        <f>SUM(F418)</f>
        <v>23381915.780000001</v>
      </c>
      <c r="G420" s="29">
        <f>+G418</f>
        <v>0.3411428407127331</v>
      </c>
    </row>
    <row r="421" spans="3:7" ht="2.4500000000000002" hidden="1" customHeight="1" x14ac:dyDescent="0.25">
      <c r="C421" s="16"/>
      <c r="D421" s="32"/>
      <c r="E421" s="22"/>
      <c r="F421" s="18"/>
      <c r="G421" s="21"/>
    </row>
    <row r="422" spans="3:7" ht="13.5" customHeight="1" thickBot="1" x14ac:dyDescent="0.3">
      <c r="C422" s="16"/>
      <c r="D422" s="37" t="s">
        <v>13</v>
      </c>
      <c r="E422" s="22"/>
      <c r="F422" s="38">
        <f>+F413+F420</f>
        <v>68539957.430000007</v>
      </c>
      <c r="G422" s="39">
        <f>+G413+G420</f>
        <v>0.99999999999999978</v>
      </c>
    </row>
    <row r="423" spans="3:7" ht="6" customHeight="1" thickTop="1" x14ac:dyDescent="0.25">
      <c r="C423" s="40"/>
      <c r="D423" s="41"/>
      <c r="E423" s="42"/>
      <c r="F423" s="42"/>
      <c r="G423" s="36"/>
    </row>
    <row r="424" spans="3:7" ht="6" customHeight="1" x14ac:dyDescent="0.25">
      <c r="C424" s="52"/>
      <c r="D424" s="32"/>
      <c r="E424" s="44"/>
      <c r="F424" s="44"/>
      <c r="G424" s="53"/>
    </row>
    <row r="425" spans="3:7" ht="18" customHeight="1" x14ac:dyDescent="0.25">
      <c r="C425" s="52"/>
      <c r="D425" s="2" t="s">
        <v>45</v>
      </c>
      <c r="E425" s="44"/>
      <c r="F425" s="44"/>
      <c r="G425" s="53"/>
    </row>
    <row r="426" spans="3:7" ht="16.5" x14ac:dyDescent="0.3">
      <c r="C426" s="61" t="s">
        <v>23</v>
      </c>
      <c r="D426" s="61"/>
      <c r="E426" s="61"/>
      <c r="F426" s="61"/>
      <c r="G426" s="61"/>
    </row>
    <row r="427" spans="3:7" ht="6" customHeight="1" x14ac:dyDescent="0.25"/>
    <row r="428" spans="3:7" ht="12" customHeight="1" x14ac:dyDescent="0.25">
      <c r="C428" s="62" t="s">
        <v>1</v>
      </c>
      <c r="D428" s="63"/>
      <c r="E428" s="13" t="s">
        <v>35</v>
      </c>
      <c r="F428" s="14" t="s">
        <v>2</v>
      </c>
      <c r="G428" s="15" t="s">
        <v>3</v>
      </c>
    </row>
    <row r="429" spans="3:7" ht="12" customHeight="1" x14ac:dyDescent="0.25">
      <c r="C429" s="16" t="s">
        <v>46</v>
      </c>
      <c r="D429" s="17"/>
      <c r="E429" s="18"/>
      <c r="F429" s="19"/>
      <c r="G429" s="48"/>
    </row>
    <row r="430" spans="3:7" ht="12" customHeight="1" x14ac:dyDescent="0.25">
      <c r="C430" s="16"/>
      <c r="D430" s="17" t="s">
        <v>4</v>
      </c>
      <c r="E430" s="20">
        <v>9775607.0099999998</v>
      </c>
      <c r="G430" s="35"/>
    </row>
    <row r="431" spans="3:7" ht="12" customHeight="1" x14ac:dyDescent="0.25">
      <c r="C431" s="16"/>
      <c r="D431" s="17" t="s">
        <v>5</v>
      </c>
      <c r="E431" s="6">
        <v>3674386.8</v>
      </c>
      <c r="G431" s="35"/>
    </row>
    <row r="432" spans="3:7" ht="12" customHeight="1" x14ac:dyDescent="0.25">
      <c r="C432" s="16"/>
      <c r="D432" s="17" t="s">
        <v>33</v>
      </c>
      <c r="E432" s="6">
        <v>455247.38</v>
      </c>
      <c r="F432" s="23"/>
      <c r="G432" s="35"/>
    </row>
    <row r="433" spans="3:10" ht="12" customHeight="1" x14ac:dyDescent="0.25">
      <c r="C433" s="16"/>
      <c r="D433" s="17" t="s">
        <v>6</v>
      </c>
      <c r="E433" s="6">
        <v>436157.57</v>
      </c>
      <c r="F433" s="23"/>
      <c r="G433" s="35"/>
    </row>
    <row r="434" spans="3:10" ht="12" customHeight="1" x14ac:dyDescent="0.25">
      <c r="C434" s="16"/>
      <c r="D434" s="17" t="s">
        <v>7</v>
      </c>
      <c r="E434" s="6">
        <v>541328.92000000004</v>
      </c>
      <c r="F434" s="23"/>
      <c r="G434" s="35"/>
    </row>
    <row r="435" spans="3:10" ht="12" hidden="1" customHeight="1" x14ac:dyDescent="0.25">
      <c r="C435" s="16"/>
      <c r="D435" s="17" t="s">
        <v>31</v>
      </c>
      <c r="E435" s="6">
        <v>0</v>
      </c>
      <c r="F435" s="23"/>
      <c r="G435" s="35"/>
    </row>
    <row r="436" spans="3:10" ht="12" customHeight="1" x14ac:dyDescent="0.25">
      <c r="C436" s="16"/>
      <c r="D436" s="17" t="s">
        <v>32</v>
      </c>
      <c r="E436" s="6">
        <v>72239.47</v>
      </c>
      <c r="F436" s="23"/>
      <c r="G436" s="35"/>
      <c r="J436" s="45"/>
    </row>
    <row r="437" spans="3:10" ht="12" customHeight="1" x14ac:dyDescent="0.25">
      <c r="C437" s="16"/>
      <c r="D437" s="17" t="s">
        <v>41</v>
      </c>
      <c r="E437" s="6">
        <v>2237730.73</v>
      </c>
      <c r="F437" s="23"/>
      <c r="G437" s="35"/>
    </row>
    <row r="438" spans="3:10" ht="12" customHeight="1" x14ac:dyDescent="0.25">
      <c r="C438" s="16"/>
      <c r="D438" s="17" t="s">
        <v>36</v>
      </c>
      <c r="E438" s="7">
        <v>4164436</v>
      </c>
      <c r="F438" s="12">
        <f>SUM(E430:E438)</f>
        <v>21357133.879999999</v>
      </c>
      <c r="G438" s="35">
        <f>+F438/F456</f>
        <v>0.68425617654662163</v>
      </c>
    </row>
    <row r="439" spans="3:10" ht="2.4500000000000002" customHeight="1" x14ac:dyDescent="0.25">
      <c r="C439" s="16"/>
      <c r="D439" s="17"/>
      <c r="E439" s="18"/>
      <c r="F439" s="22"/>
      <c r="G439" s="21"/>
    </row>
    <row r="440" spans="3:10" ht="12" customHeight="1" x14ac:dyDescent="0.25">
      <c r="C440" s="16" t="s">
        <v>34</v>
      </c>
      <c r="D440" s="32"/>
      <c r="E440" s="22"/>
      <c r="F440" s="18"/>
      <c r="G440" s="21"/>
    </row>
    <row r="441" spans="3:10" ht="12" customHeight="1" x14ac:dyDescent="0.25">
      <c r="C441" s="16"/>
      <c r="D441" s="33" t="s">
        <v>38</v>
      </c>
      <c r="E441" s="34"/>
      <c r="F441" s="6">
        <v>384</v>
      </c>
      <c r="G441" s="35">
        <f>+F441/F456</f>
        <v>1.230288545599091E-5</v>
      </c>
    </row>
    <row r="442" spans="3:10" ht="12" customHeight="1" x14ac:dyDescent="0.25">
      <c r="C442" s="16" t="s">
        <v>47</v>
      </c>
      <c r="D442" s="32"/>
      <c r="E442" s="22"/>
      <c r="F442" s="23"/>
      <c r="G442" s="35"/>
      <c r="J442" s="45">
        <f>68.43+0.05+31.52</f>
        <v>100</v>
      </c>
    </row>
    <row r="443" spans="3:10" ht="12" customHeight="1" x14ac:dyDescent="0.25">
      <c r="C443" s="16"/>
      <c r="D443" s="17" t="s">
        <v>44</v>
      </c>
      <c r="F443" s="7">
        <v>16743.82</v>
      </c>
      <c r="G443" s="26">
        <f>+F443/F456</f>
        <v>5.3645130092637948E-4</v>
      </c>
    </row>
    <row r="444" spans="3:10" ht="12" hidden="1" customHeight="1" x14ac:dyDescent="0.25">
      <c r="C444" s="16"/>
      <c r="D444" s="17" t="s">
        <v>8</v>
      </c>
      <c r="E444" s="22">
        <v>0</v>
      </c>
      <c r="F444" s="24"/>
      <c r="G444" s="49"/>
    </row>
    <row r="445" spans="3:10" ht="12" hidden="1" customHeight="1" x14ac:dyDescent="0.25">
      <c r="C445" s="16"/>
      <c r="D445" s="17" t="s">
        <v>9</v>
      </c>
      <c r="E445" s="22">
        <v>0</v>
      </c>
      <c r="F445" s="2"/>
      <c r="G445" s="51"/>
    </row>
    <row r="446" spans="3:10" ht="12" hidden="1" customHeight="1" x14ac:dyDescent="0.25">
      <c r="C446" s="16"/>
      <c r="D446" s="17" t="s">
        <v>42</v>
      </c>
      <c r="E446" s="25">
        <v>0</v>
      </c>
      <c r="F446" s="25">
        <f>SUM(E443:E446)</f>
        <v>0</v>
      </c>
    </row>
    <row r="447" spans="3:10" ht="12" customHeight="1" x14ac:dyDescent="0.25">
      <c r="C447" s="16"/>
      <c r="D447" s="27" t="s">
        <v>37</v>
      </c>
      <c r="E447" s="18"/>
      <c r="F447" s="28">
        <f>SUM(F430:F446)</f>
        <v>21374261.699999999</v>
      </c>
      <c r="G447" s="29">
        <f>+F447/F456</f>
        <v>0.68480493073300397</v>
      </c>
      <c r="J447" s="45">
        <f>68.48+31.52</f>
        <v>100</v>
      </c>
    </row>
    <row r="448" spans="3:10" ht="6" customHeight="1" x14ac:dyDescent="0.25">
      <c r="C448" s="16"/>
      <c r="D448" s="27"/>
      <c r="E448" s="18"/>
      <c r="F448" s="30"/>
      <c r="G448" s="31"/>
    </row>
    <row r="449" spans="3:7" ht="6" customHeight="1" x14ac:dyDescent="0.25">
      <c r="C449" s="16"/>
      <c r="D449" s="27"/>
      <c r="E449" s="18"/>
      <c r="F449" s="30"/>
      <c r="G449" s="31"/>
    </row>
    <row r="450" spans="3:7" ht="12" customHeight="1" x14ac:dyDescent="0.25">
      <c r="C450" s="16" t="s">
        <v>10</v>
      </c>
      <c r="D450" s="17"/>
      <c r="E450" s="18"/>
      <c r="F450" s="22"/>
      <c r="G450" s="21"/>
    </row>
    <row r="451" spans="3:7" ht="12" customHeight="1" x14ac:dyDescent="0.25">
      <c r="C451" s="16"/>
      <c r="D451" s="17" t="s">
        <v>11</v>
      </c>
      <c r="E451" s="12">
        <v>2607856.85</v>
      </c>
      <c r="F451" s="22"/>
      <c r="G451" s="21"/>
    </row>
    <row r="452" spans="3:7" ht="12" customHeight="1" x14ac:dyDescent="0.25">
      <c r="C452" s="16"/>
      <c r="D452" s="17" t="s">
        <v>12</v>
      </c>
      <c r="E452" s="7">
        <v>7230071.5800000001</v>
      </c>
      <c r="F452" s="25">
        <f>SUM(E451:E452)</f>
        <v>9837928.4299999997</v>
      </c>
      <c r="G452" s="36">
        <f>+F452/F456</f>
        <v>0.31519506926699603</v>
      </c>
    </row>
    <row r="453" spans="3:7" ht="2.25" hidden="1" customHeight="1" x14ac:dyDescent="0.25">
      <c r="C453" s="16"/>
      <c r="D453" s="32"/>
      <c r="E453" s="22"/>
      <c r="F453" s="18"/>
      <c r="G453" s="21"/>
    </row>
    <row r="454" spans="3:7" ht="12" hidden="1" customHeight="1" x14ac:dyDescent="0.25">
      <c r="C454" s="16"/>
      <c r="D454" s="27" t="s">
        <v>37</v>
      </c>
      <c r="E454" s="18"/>
      <c r="F454" s="28">
        <f>SUM(F452)</f>
        <v>9837928.4299999997</v>
      </c>
      <c r="G454" s="29">
        <f>+G452</f>
        <v>0.31519506926699603</v>
      </c>
    </row>
    <row r="455" spans="3:7" ht="2.4500000000000002" hidden="1" customHeight="1" x14ac:dyDescent="0.25">
      <c r="C455" s="16"/>
      <c r="D455" s="32"/>
      <c r="E455" s="22"/>
      <c r="F455" s="18"/>
      <c r="G455" s="21"/>
    </row>
    <row r="456" spans="3:7" ht="13.5" customHeight="1" thickBot="1" x14ac:dyDescent="0.3">
      <c r="C456" s="16"/>
      <c r="D456" s="37" t="s">
        <v>13</v>
      </c>
      <c r="E456" s="22"/>
      <c r="F456" s="38">
        <f>+F447+F454</f>
        <v>31212190.129999999</v>
      </c>
      <c r="G456" s="39">
        <f>+G447+G454</f>
        <v>1</v>
      </c>
    </row>
    <row r="457" spans="3:7" ht="6" customHeight="1" thickTop="1" x14ac:dyDescent="0.25">
      <c r="C457" s="40"/>
      <c r="D457" s="41"/>
      <c r="E457" s="42"/>
      <c r="F457" s="42"/>
      <c r="G457" s="36"/>
    </row>
    <row r="458" spans="3:7" x14ac:dyDescent="0.25">
      <c r="C458" s="8"/>
      <c r="D458" s="9"/>
      <c r="E458" s="10"/>
      <c r="F458" s="10"/>
      <c r="G458" s="11"/>
    </row>
    <row r="459" spans="3:7" x14ac:dyDescent="0.25">
      <c r="C459" s="8"/>
      <c r="D459" s="9"/>
      <c r="E459" s="10"/>
      <c r="F459" s="10"/>
      <c r="G459" s="11"/>
    </row>
    <row r="460" spans="3:7" ht="16.5" x14ac:dyDescent="0.3">
      <c r="C460" s="61" t="s">
        <v>24</v>
      </c>
      <c r="D460" s="61"/>
      <c r="E460" s="61"/>
      <c r="F460" s="61"/>
      <c r="G460" s="61"/>
    </row>
    <row r="461" spans="3:7" ht="6" customHeight="1" x14ac:dyDescent="0.25"/>
    <row r="462" spans="3:7" ht="12" customHeight="1" x14ac:dyDescent="0.25">
      <c r="C462" s="62" t="s">
        <v>1</v>
      </c>
      <c r="D462" s="63"/>
      <c r="E462" s="13" t="s">
        <v>35</v>
      </c>
      <c r="F462" s="14" t="s">
        <v>2</v>
      </c>
      <c r="G462" s="15" t="s">
        <v>3</v>
      </c>
    </row>
    <row r="463" spans="3:7" ht="12" customHeight="1" x14ac:dyDescent="0.25">
      <c r="C463" s="16" t="s">
        <v>46</v>
      </c>
      <c r="D463" s="17"/>
      <c r="E463" s="18"/>
      <c r="F463" s="19"/>
      <c r="G463" s="48"/>
    </row>
    <row r="464" spans="3:7" ht="12" customHeight="1" x14ac:dyDescent="0.25">
      <c r="C464" s="16"/>
      <c r="D464" s="17" t="s">
        <v>4</v>
      </c>
      <c r="E464" s="20">
        <v>10627137.9</v>
      </c>
      <c r="G464" s="35"/>
    </row>
    <row r="465" spans="3:10" ht="12" customHeight="1" x14ac:dyDescent="0.25">
      <c r="C465" s="16"/>
      <c r="D465" s="17" t="s">
        <v>5</v>
      </c>
      <c r="E465" s="6">
        <v>4325396.76</v>
      </c>
      <c r="G465" s="35"/>
    </row>
    <row r="466" spans="3:10" ht="12" customHeight="1" x14ac:dyDescent="0.25">
      <c r="C466" s="16"/>
      <c r="D466" s="17" t="s">
        <v>33</v>
      </c>
      <c r="E466" s="6">
        <v>439560.6</v>
      </c>
      <c r="F466" s="23"/>
      <c r="G466" s="35"/>
      <c r="J466" s="45"/>
    </row>
    <row r="467" spans="3:10" ht="12" customHeight="1" x14ac:dyDescent="0.25">
      <c r="C467" s="16"/>
      <c r="D467" s="17" t="s">
        <v>6</v>
      </c>
      <c r="E467" s="6">
        <v>334108.87</v>
      </c>
      <c r="F467" s="23"/>
      <c r="G467" s="35"/>
    </row>
    <row r="468" spans="3:10" ht="12" customHeight="1" x14ac:dyDescent="0.25">
      <c r="C468" s="16"/>
      <c r="D468" s="17" t="s">
        <v>7</v>
      </c>
      <c r="E468" s="6">
        <v>412005.68</v>
      </c>
      <c r="F468" s="23"/>
      <c r="G468" s="35"/>
    </row>
    <row r="469" spans="3:10" ht="12" hidden="1" customHeight="1" x14ac:dyDescent="0.25">
      <c r="C469" s="16"/>
      <c r="D469" s="17" t="s">
        <v>31</v>
      </c>
      <c r="E469" s="6">
        <v>0</v>
      </c>
      <c r="F469" s="23"/>
      <c r="G469" s="35"/>
    </row>
    <row r="470" spans="3:10" ht="12" customHeight="1" x14ac:dyDescent="0.25">
      <c r="C470" s="16"/>
      <c r="D470" s="17" t="s">
        <v>32</v>
      </c>
      <c r="E470" s="6">
        <v>81580.66</v>
      </c>
      <c r="F470" s="23"/>
      <c r="G470" s="35"/>
    </row>
    <row r="471" spans="3:10" ht="12" customHeight="1" x14ac:dyDescent="0.25">
      <c r="C471" s="16"/>
      <c r="D471" s="17" t="s">
        <v>41</v>
      </c>
      <c r="E471" s="6">
        <v>2424006.59</v>
      </c>
      <c r="F471" s="23"/>
      <c r="G471" s="35"/>
    </row>
    <row r="472" spans="3:10" ht="12" customHeight="1" x14ac:dyDescent="0.25">
      <c r="C472" s="16"/>
      <c r="D472" s="17" t="s">
        <v>36</v>
      </c>
      <c r="E472" s="7">
        <v>3271790</v>
      </c>
      <c r="F472" s="12">
        <f>SUM(E464:E472)</f>
        <v>21915587.059999999</v>
      </c>
      <c r="G472" s="35">
        <f>+F472/F490</f>
        <v>0.74275676439875149</v>
      </c>
    </row>
    <row r="473" spans="3:10" ht="2.4500000000000002" customHeight="1" x14ac:dyDescent="0.25">
      <c r="C473" s="16"/>
      <c r="D473" s="17"/>
      <c r="E473" s="18"/>
      <c r="F473" s="22"/>
      <c r="G473" s="21"/>
    </row>
    <row r="474" spans="3:10" ht="12" hidden="1" customHeight="1" x14ac:dyDescent="0.25">
      <c r="C474" s="16" t="s">
        <v>34</v>
      </c>
      <c r="D474" s="32"/>
      <c r="E474" s="22"/>
      <c r="F474" s="18"/>
      <c r="G474" s="21"/>
    </row>
    <row r="475" spans="3:10" ht="12" hidden="1" customHeight="1" x14ac:dyDescent="0.25">
      <c r="C475" s="16"/>
      <c r="D475" s="33" t="s">
        <v>38</v>
      </c>
      <c r="E475" s="34"/>
      <c r="F475" s="6">
        <v>0</v>
      </c>
      <c r="G475" s="35">
        <f>+F475/F490</f>
        <v>0</v>
      </c>
    </row>
    <row r="476" spans="3:10" ht="12" customHeight="1" x14ac:dyDescent="0.25">
      <c r="C476" s="16" t="s">
        <v>47</v>
      </c>
      <c r="D476" s="32"/>
      <c r="E476" s="22"/>
      <c r="F476" s="23"/>
      <c r="G476" s="35"/>
    </row>
    <row r="477" spans="3:10" ht="12" customHeight="1" x14ac:dyDescent="0.25">
      <c r="C477" s="16"/>
      <c r="D477" s="17" t="s">
        <v>44</v>
      </c>
      <c r="E477" s="12">
        <v>915.36</v>
      </c>
      <c r="F477" s="6"/>
      <c r="G477" s="5"/>
    </row>
    <row r="478" spans="3:10" ht="12" customHeight="1" x14ac:dyDescent="0.25">
      <c r="C478" s="16"/>
      <c r="D478" s="17" t="s">
        <v>8</v>
      </c>
      <c r="E478" s="25">
        <v>271490.62</v>
      </c>
      <c r="F478" s="25">
        <f>SUM(E477:E480)</f>
        <v>272405.98</v>
      </c>
      <c r="G478" s="26">
        <f>+F478/F490</f>
        <v>9.2323050144051677E-3</v>
      </c>
      <c r="J478" s="45">
        <f>74.28+0.92+24.8</f>
        <v>100</v>
      </c>
    </row>
    <row r="479" spans="3:10" ht="12" hidden="1" customHeight="1" x14ac:dyDescent="0.25">
      <c r="C479" s="16"/>
      <c r="D479" s="17" t="s">
        <v>9</v>
      </c>
      <c r="E479" s="25"/>
    </row>
    <row r="480" spans="3:10" ht="12" hidden="1" customHeight="1" x14ac:dyDescent="0.25">
      <c r="C480" s="16"/>
      <c r="D480" s="17" t="s">
        <v>42</v>
      </c>
      <c r="E480" s="25">
        <v>0</v>
      </c>
      <c r="F480" s="58"/>
      <c r="G480" s="59"/>
    </row>
    <row r="481" spans="3:10" ht="12" customHeight="1" x14ac:dyDescent="0.25">
      <c r="C481" s="16"/>
      <c r="D481" s="27" t="s">
        <v>37</v>
      </c>
      <c r="E481" s="18"/>
      <c r="F481" s="28">
        <f>SUM(F464:F478)</f>
        <v>22187993.039999999</v>
      </c>
      <c r="G481" s="29">
        <f>+F481/F490</f>
        <v>0.75198906941315669</v>
      </c>
      <c r="J481" s="45">
        <f>75.2+24.8</f>
        <v>100</v>
      </c>
    </row>
    <row r="482" spans="3:10" ht="6" customHeight="1" x14ac:dyDescent="0.25">
      <c r="C482" s="16"/>
      <c r="D482" s="27"/>
      <c r="E482" s="18"/>
      <c r="F482" s="30"/>
      <c r="G482" s="31"/>
    </row>
    <row r="483" spans="3:10" ht="6" customHeight="1" x14ac:dyDescent="0.25">
      <c r="C483" s="16"/>
      <c r="D483" s="27"/>
      <c r="E483" s="18"/>
      <c r="F483" s="30"/>
      <c r="G483" s="31"/>
    </row>
    <row r="484" spans="3:10" ht="12" customHeight="1" x14ac:dyDescent="0.25">
      <c r="C484" s="16" t="s">
        <v>10</v>
      </c>
      <c r="D484" s="17"/>
      <c r="E484" s="18"/>
      <c r="F484" s="22"/>
      <c r="G484" s="21"/>
    </row>
    <row r="485" spans="3:10" ht="12" customHeight="1" x14ac:dyDescent="0.25">
      <c r="C485" s="16"/>
      <c r="D485" s="17" t="s">
        <v>11</v>
      </c>
      <c r="E485" s="12">
        <v>1753841.76</v>
      </c>
      <c r="F485" s="22"/>
      <c r="G485" s="21"/>
    </row>
    <row r="486" spans="3:10" ht="12" customHeight="1" x14ac:dyDescent="0.25">
      <c r="C486" s="16"/>
      <c r="D486" s="17" t="s">
        <v>12</v>
      </c>
      <c r="E486" s="7">
        <v>5563903.9699999997</v>
      </c>
      <c r="F486" s="25">
        <f>SUM(E485:E486)</f>
        <v>7317745.7299999995</v>
      </c>
      <c r="G486" s="36">
        <f>+F486/F490</f>
        <v>0.24801093058684326</v>
      </c>
    </row>
    <row r="487" spans="3:10" ht="2.25" hidden="1" customHeight="1" x14ac:dyDescent="0.25">
      <c r="C487" s="16"/>
      <c r="D487" s="32"/>
      <c r="E487" s="22"/>
      <c r="F487" s="18"/>
      <c r="G487" s="21"/>
    </row>
    <row r="488" spans="3:10" ht="12" hidden="1" customHeight="1" x14ac:dyDescent="0.25">
      <c r="C488" s="16"/>
      <c r="D488" s="27" t="s">
        <v>37</v>
      </c>
      <c r="E488" s="18"/>
      <c r="F488" s="28">
        <f>SUM(F486)</f>
        <v>7317745.7299999995</v>
      </c>
      <c r="G488" s="29">
        <f>+G486</f>
        <v>0.24801093058684326</v>
      </c>
    </row>
    <row r="489" spans="3:10" ht="2.4500000000000002" hidden="1" customHeight="1" x14ac:dyDescent="0.25">
      <c r="C489" s="16"/>
      <c r="D489" s="32"/>
      <c r="E489" s="22"/>
      <c r="F489" s="18"/>
      <c r="G489" s="21"/>
    </row>
    <row r="490" spans="3:10" ht="13.5" customHeight="1" thickBot="1" x14ac:dyDescent="0.3">
      <c r="C490" s="16"/>
      <c r="D490" s="37" t="s">
        <v>13</v>
      </c>
      <c r="E490" s="22"/>
      <c r="F490" s="38">
        <f>+F481+F488</f>
        <v>29505738.77</v>
      </c>
      <c r="G490" s="39">
        <f>+G481+G488</f>
        <v>1</v>
      </c>
    </row>
    <row r="491" spans="3:10" ht="6" customHeight="1" thickTop="1" x14ac:dyDescent="0.25">
      <c r="C491" s="40"/>
      <c r="D491" s="41"/>
      <c r="E491" s="42"/>
      <c r="F491" s="42"/>
      <c r="G491" s="36"/>
    </row>
    <row r="492" spans="3:10" ht="6" customHeight="1" x14ac:dyDescent="0.25">
      <c r="C492" s="52"/>
      <c r="D492" s="32"/>
      <c r="E492" s="44"/>
      <c r="F492" s="44"/>
      <c r="G492" s="53"/>
    </row>
    <row r="493" spans="3:10" ht="6" customHeight="1" x14ac:dyDescent="0.25">
      <c r="C493" s="52"/>
      <c r="D493" s="32"/>
      <c r="E493" s="44"/>
      <c r="F493" s="44"/>
      <c r="G493" s="53"/>
    </row>
    <row r="494" spans="3:10" x14ac:dyDescent="0.25">
      <c r="D494" s="2" t="s">
        <v>45</v>
      </c>
    </row>
    <row r="495" spans="3:10" ht="16.5" x14ac:dyDescent="0.3">
      <c r="C495" s="61" t="s">
        <v>25</v>
      </c>
      <c r="D495" s="61"/>
      <c r="E495" s="61"/>
      <c r="F495" s="61"/>
      <c r="G495" s="61"/>
    </row>
    <row r="496" spans="3:10" ht="6" customHeight="1" x14ac:dyDescent="0.25"/>
    <row r="497" spans="3:10" ht="12" customHeight="1" x14ac:dyDescent="0.25">
      <c r="C497" s="62" t="s">
        <v>1</v>
      </c>
      <c r="D497" s="63"/>
      <c r="E497" s="13" t="s">
        <v>35</v>
      </c>
      <c r="F497" s="14" t="s">
        <v>2</v>
      </c>
      <c r="G497" s="15" t="s">
        <v>3</v>
      </c>
    </row>
    <row r="498" spans="3:10" ht="12" customHeight="1" x14ac:dyDescent="0.25">
      <c r="C498" s="16" t="s">
        <v>46</v>
      </c>
      <c r="D498" s="17"/>
      <c r="E498" s="18"/>
      <c r="F498" s="19"/>
      <c r="G498" s="48"/>
    </row>
    <row r="499" spans="3:10" ht="12" customHeight="1" x14ac:dyDescent="0.25">
      <c r="C499" s="16"/>
      <c r="D499" s="17" t="s">
        <v>4</v>
      </c>
      <c r="E499" s="20">
        <v>9145571.8499999996</v>
      </c>
      <c r="G499" s="35"/>
    </row>
    <row r="500" spans="3:10" ht="12" customHeight="1" x14ac:dyDescent="0.25">
      <c r="C500" s="16"/>
      <c r="D500" s="17" t="s">
        <v>5</v>
      </c>
      <c r="E500" s="6">
        <v>3145728.6</v>
      </c>
      <c r="G500" s="35"/>
    </row>
    <row r="501" spans="3:10" ht="12" customHeight="1" x14ac:dyDescent="0.25">
      <c r="C501" s="16"/>
      <c r="D501" s="17" t="s">
        <v>33</v>
      </c>
      <c r="E501" s="6">
        <v>481560.55</v>
      </c>
      <c r="F501" s="23"/>
      <c r="G501" s="35"/>
      <c r="J501" s="45"/>
    </row>
    <row r="502" spans="3:10" ht="12" customHeight="1" x14ac:dyDescent="0.25">
      <c r="C502" s="16"/>
      <c r="D502" s="17" t="s">
        <v>6</v>
      </c>
      <c r="E502" s="6">
        <v>524619.44999999995</v>
      </c>
      <c r="F502" s="23"/>
      <c r="G502" s="35"/>
    </row>
    <row r="503" spans="3:10" ht="12" customHeight="1" x14ac:dyDescent="0.25">
      <c r="C503" s="16"/>
      <c r="D503" s="17" t="s">
        <v>7</v>
      </c>
      <c r="E503" s="6">
        <v>660267.51</v>
      </c>
      <c r="F503" s="23"/>
      <c r="G503" s="35"/>
    </row>
    <row r="504" spans="3:10" ht="12" hidden="1" customHeight="1" x14ac:dyDescent="0.25">
      <c r="C504" s="16"/>
      <c r="D504" s="17" t="s">
        <v>31</v>
      </c>
      <c r="E504" s="6">
        <v>0</v>
      </c>
      <c r="F504" s="23"/>
      <c r="G504" s="35"/>
    </row>
    <row r="505" spans="3:10" ht="12" customHeight="1" x14ac:dyDescent="0.25">
      <c r="C505" s="16"/>
      <c r="D505" s="17" t="s">
        <v>32</v>
      </c>
      <c r="E505" s="6">
        <v>103326.35</v>
      </c>
      <c r="F505" s="23"/>
      <c r="G505" s="35"/>
    </row>
    <row r="506" spans="3:10" ht="12" customHeight="1" x14ac:dyDescent="0.25">
      <c r="C506" s="16"/>
      <c r="D506" s="17" t="s">
        <v>41</v>
      </c>
      <c r="E506" s="6">
        <v>3381283.82</v>
      </c>
      <c r="F506" s="23"/>
      <c r="G506" s="35"/>
    </row>
    <row r="507" spans="3:10" ht="12" customHeight="1" x14ac:dyDescent="0.25">
      <c r="C507" s="16"/>
      <c r="D507" s="17" t="s">
        <v>36</v>
      </c>
      <c r="E507" s="7">
        <v>7951217</v>
      </c>
      <c r="F507" s="12">
        <f>SUM(E499:E507)</f>
        <v>25393575.129999999</v>
      </c>
      <c r="G507" s="35">
        <f>+F507/F525</f>
        <v>0.68601079969584489</v>
      </c>
    </row>
    <row r="508" spans="3:10" ht="2.4500000000000002" customHeight="1" x14ac:dyDescent="0.25">
      <c r="C508" s="16"/>
      <c r="D508" s="17"/>
      <c r="E508" s="18"/>
      <c r="F508" s="22"/>
      <c r="G508" s="21"/>
    </row>
    <row r="509" spans="3:10" ht="12" hidden="1" customHeight="1" x14ac:dyDescent="0.25">
      <c r="C509" s="16" t="s">
        <v>34</v>
      </c>
      <c r="D509" s="32"/>
      <c r="E509" s="22"/>
      <c r="F509" s="18"/>
      <c r="G509" s="21"/>
    </row>
    <row r="510" spans="3:10" ht="12" hidden="1" customHeight="1" x14ac:dyDescent="0.25">
      <c r="C510" s="16"/>
      <c r="D510" s="33" t="s">
        <v>38</v>
      </c>
      <c r="E510" s="34"/>
      <c r="F510" s="6">
        <v>0</v>
      </c>
      <c r="G510" s="35">
        <f>+F510/F525</f>
        <v>0</v>
      </c>
    </row>
    <row r="511" spans="3:10" ht="12" customHeight="1" x14ac:dyDescent="0.25">
      <c r="C511" s="16" t="s">
        <v>47</v>
      </c>
      <c r="D511" s="32"/>
      <c r="E511" s="22"/>
      <c r="F511" s="23"/>
      <c r="G511" s="35"/>
      <c r="J511" s="45">
        <f>68.6+0.06+31.34</f>
        <v>100</v>
      </c>
    </row>
    <row r="512" spans="3:10" ht="12" customHeight="1" x14ac:dyDescent="0.25">
      <c r="C512" s="16"/>
      <c r="D512" s="17" t="s">
        <v>44</v>
      </c>
      <c r="E512" s="12"/>
      <c r="F512" s="25">
        <v>22163.63</v>
      </c>
      <c r="G512" s="26">
        <f>+F512/F525</f>
        <v>5.9875340367100249E-4</v>
      </c>
    </row>
    <row r="513" spans="3:10" ht="12" hidden="1" customHeight="1" x14ac:dyDescent="0.25">
      <c r="C513" s="16"/>
      <c r="D513" s="17" t="s">
        <v>8</v>
      </c>
      <c r="E513" s="22">
        <v>0</v>
      </c>
      <c r="F513" s="24"/>
      <c r="G513" s="49"/>
    </row>
    <row r="514" spans="3:10" ht="12" hidden="1" customHeight="1" x14ac:dyDescent="0.25">
      <c r="C514" s="16"/>
      <c r="D514" s="17" t="s">
        <v>9</v>
      </c>
      <c r="E514" s="25"/>
    </row>
    <row r="515" spans="3:10" ht="12" hidden="1" customHeight="1" x14ac:dyDescent="0.25">
      <c r="C515" s="16"/>
      <c r="D515" s="17" t="s">
        <v>42</v>
      </c>
      <c r="E515" s="25">
        <v>0</v>
      </c>
    </row>
    <row r="516" spans="3:10" ht="12" customHeight="1" x14ac:dyDescent="0.25">
      <c r="C516" s="16"/>
      <c r="D516" s="27" t="s">
        <v>37</v>
      </c>
      <c r="E516" s="18"/>
      <c r="F516" s="28">
        <f>SUM(F499:F513)</f>
        <v>25415738.759999998</v>
      </c>
      <c r="G516" s="29">
        <f>+F516/F525</f>
        <v>0.68660955309951588</v>
      </c>
      <c r="J516" s="45">
        <f>68.66+31.34</f>
        <v>100</v>
      </c>
    </row>
    <row r="517" spans="3:10" ht="6" customHeight="1" x14ac:dyDescent="0.25">
      <c r="C517" s="16"/>
      <c r="D517" s="27"/>
      <c r="E517" s="18"/>
      <c r="F517" s="30"/>
      <c r="G517" s="31"/>
    </row>
    <row r="518" spans="3:10" ht="6" customHeight="1" x14ac:dyDescent="0.25">
      <c r="C518" s="16"/>
      <c r="D518" s="27"/>
      <c r="E518" s="18"/>
      <c r="F518" s="30"/>
      <c r="G518" s="31"/>
    </row>
    <row r="519" spans="3:10" ht="12" customHeight="1" x14ac:dyDescent="0.25">
      <c r="C519" s="16" t="s">
        <v>10</v>
      </c>
      <c r="D519" s="17"/>
      <c r="E519" s="18"/>
      <c r="F519" s="22"/>
      <c r="G519" s="21"/>
    </row>
    <row r="520" spans="3:10" ht="12" customHeight="1" x14ac:dyDescent="0.25">
      <c r="C520" s="16"/>
      <c r="D520" s="17" t="s">
        <v>11</v>
      </c>
      <c r="E520" s="12">
        <v>1148438.24</v>
      </c>
      <c r="F520" s="22"/>
      <c r="G520" s="21"/>
    </row>
    <row r="521" spans="3:10" ht="12" customHeight="1" x14ac:dyDescent="0.25">
      <c r="C521" s="16"/>
      <c r="D521" s="17" t="s">
        <v>12</v>
      </c>
      <c r="E521" s="7">
        <v>10452113.619999999</v>
      </c>
      <c r="F521" s="25">
        <f>SUM(E520:E521)</f>
        <v>11600551.859999999</v>
      </c>
      <c r="G521" s="36">
        <f>+F521/F525</f>
        <v>0.31339044690048418</v>
      </c>
    </row>
    <row r="522" spans="3:10" ht="2.25" hidden="1" customHeight="1" x14ac:dyDescent="0.25">
      <c r="C522" s="16"/>
      <c r="D522" s="32"/>
      <c r="E522" s="22"/>
      <c r="F522" s="18"/>
      <c r="G522" s="21"/>
    </row>
    <row r="523" spans="3:10" ht="12" hidden="1" customHeight="1" x14ac:dyDescent="0.25">
      <c r="C523" s="16"/>
      <c r="D523" s="27" t="s">
        <v>37</v>
      </c>
      <c r="E523" s="18"/>
      <c r="F523" s="28">
        <f>SUM(F521)</f>
        <v>11600551.859999999</v>
      </c>
      <c r="G523" s="29">
        <f>+G521</f>
        <v>0.31339044690048418</v>
      </c>
    </row>
    <row r="524" spans="3:10" ht="2.4500000000000002" hidden="1" customHeight="1" x14ac:dyDescent="0.25">
      <c r="C524" s="16"/>
      <c r="D524" s="32"/>
      <c r="E524" s="22"/>
      <c r="F524" s="18"/>
      <c r="G524" s="21"/>
    </row>
    <row r="525" spans="3:10" ht="13.5" customHeight="1" thickBot="1" x14ac:dyDescent="0.3">
      <c r="C525" s="16"/>
      <c r="D525" s="37" t="s">
        <v>13</v>
      </c>
      <c r="E525" s="22"/>
      <c r="F525" s="38">
        <f>+F516+F523</f>
        <v>37016290.619999997</v>
      </c>
      <c r="G525" s="39">
        <f>+G516+G523</f>
        <v>1</v>
      </c>
    </row>
    <row r="526" spans="3:10" ht="6" customHeight="1" thickTop="1" x14ac:dyDescent="0.25">
      <c r="C526" s="40"/>
      <c r="D526" s="41"/>
      <c r="E526" s="42"/>
      <c r="F526" s="42"/>
      <c r="G526" s="36"/>
    </row>
    <row r="527" spans="3:10" x14ac:dyDescent="0.25">
      <c r="C527" s="8"/>
      <c r="D527" s="9"/>
      <c r="E527" s="10"/>
      <c r="F527" s="10"/>
      <c r="G527" s="11"/>
    </row>
    <row r="528" spans="3:10" x14ac:dyDescent="0.25">
      <c r="C528" s="8"/>
      <c r="D528" s="9"/>
      <c r="E528" s="10"/>
      <c r="F528" s="10"/>
      <c r="G528" s="11"/>
    </row>
    <row r="529" spans="3:10" ht="16.5" x14ac:dyDescent="0.3">
      <c r="C529" s="61" t="s">
        <v>26</v>
      </c>
      <c r="D529" s="61"/>
      <c r="E529" s="61"/>
      <c r="F529" s="61"/>
      <c r="G529" s="61"/>
    </row>
    <row r="530" spans="3:10" ht="6" customHeight="1" x14ac:dyDescent="0.25"/>
    <row r="531" spans="3:10" ht="12" customHeight="1" x14ac:dyDescent="0.25">
      <c r="C531" s="62" t="s">
        <v>1</v>
      </c>
      <c r="D531" s="63"/>
      <c r="E531" s="13" t="s">
        <v>35</v>
      </c>
      <c r="F531" s="14" t="s">
        <v>2</v>
      </c>
      <c r="G531" s="15" t="s">
        <v>3</v>
      </c>
    </row>
    <row r="532" spans="3:10" ht="12" customHeight="1" x14ac:dyDescent="0.25">
      <c r="C532" s="16" t="s">
        <v>46</v>
      </c>
      <c r="D532" s="17"/>
      <c r="E532" s="18"/>
      <c r="F532" s="19"/>
      <c r="G532" s="48"/>
    </row>
    <row r="533" spans="3:10" ht="12" customHeight="1" x14ac:dyDescent="0.25">
      <c r="C533" s="16"/>
      <c r="D533" s="17" t="s">
        <v>4</v>
      </c>
      <c r="E533" s="20">
        <v>6284368.9299999997</v>
      </c>
      <c r="G533" s="35"/>
    </row>
    <row r="534" spans="3:10" ht="12" customHeight="1" x14ac:dyDescent="0.25">
      <c r="C534" s="16"/>
      <c r="D534" s="17" t="s">
        <v>5</v>
      </c>
      <c r="E534" s="6">
        <v>2604657.67</v>
      </c>
      <c r="G534" s="35"/>
    </row>
    <row r="535" spans="3:10" ht="12" customHeight="1" x14ac:dyDescent="0.25">
      <c r="C535" s="16"/>
      <c r="D535" s="17" t="s">
        <v>33</v>
      </c>
      <c r="E535" s="6">
        <v>587825.80000000005</v>
      </c>
      <c r="F535" s="23"/>
      <c r="G535" s="35"/>
      <c r="J535" s="45"/>
    </row>
    <row r="536" spans="3:10" ht="12" customHeight="1" x14ac:dyDescent="0.25">
      <c r="C536" s="16"/>
      <c r="D536" s="17" t="s">
        <v>6</v>
      </c>
      <c r="E536" s="6">
        <v>83261.53</v>
      </c>
      <c r="F536" s="23"/>
      <c r="G536" s="35"/>
    </row>
    <row r="537" spans="3:10" ht="12" customHeight="1" x14ac:dyDescent="0.25">
      <c r="C537" s="16"/>
      <c r="D537" s="17" t="s">
        <v>7</v>
      </c>
      <c r="E537" s="6">
        <v>103009.86</v>
      </c>
      <c r="F537" s="23"/>
      <c r="G537" s="35"/>
    </row>
    <row r="538" spans="3:10" ht="12" hidden="1" customHeight="1" x14ac:dyDescent="0.25">
      <c r="C538" s="16"/>
      <c r="D538" s="17" t="s">
        <v>31</v>
      </c>
      <c r="E538" s="6">
        <v>0</v>
      </c>
      <c r="F538" s="23"/>
      <c r="G538" s="35"/>
    </row>
    <row r="539" spans="3:10" ht="12" customHeight="1" x14ac:dyDescent="0.25">
      <c r="C539" s="16"/>
      <c r="D539" s="17" t="s">
        <v>32</v>
      </c>
      <c r="E539" s="6">
        <v>71033.67</v>
      </c>
      <c r="F539" s="23"/>
      <c r="G539" s="35"/>
    </row>
    <row r="540" spans="3:10" ht="12" customHeight="1" x14ac:dyDescent="0.25">
      <c r="C540" s="16"/>
      <c r="D540" s="17" t="s">
        <v>41</v>
      </c>
      <c r="E540" s="6">
        <v>2013752.6</v>
      </c>
      <c r="F540" s="23"/>
      <c r="G540" s="35"/>
    </row>
    <row r="541" spans="3:10" ht="12" customHeight="1" x14ac:dyDescent="0.25">
      <c r="C541" s="16"/>
      <c r="D541" s="17" t="s">
        <v>36</v>
      </c>
      <c r="E541" s="7">
        <v>1132201</v>
      </c>
      <c r="F541" s="12">
        <f>SUM(E533:E541)</f>
        <v>12880111.059999999</v>
      </c>
      <c r="G541" s="35">
        <f>+F541/F559</f>
        <v>0.86099402941084247</v>
      </c>
      <c r="J541" s="45">
        <f>86.1+0.64+13.26</f>
        <v>100</v>
      </c>
    </row>
    <row r="542" spans="3:10" ht="2.4500000000000002" customHeight="1" x14ac:dyDescent="0.25">
      <c r="C542" s="16"/>
      <c r="D542" s="17"/>
      <c r="E542" s="18"/>
      <c r="F542" s="22"/>
      <c r="G542" s="21"/>
    </row>
    <row r="543" spans="3:10" ht="12" hidden="1" customHeight="1" x14ac:dyDescent="0.25">
      <c r="C543" s="16" t="s">
        <v>34</v>
      </c>
      <c r="D543" s="32"/>
      <c r="E543" s="22"/>
      <c r="F543" s="18"/>
      <c r="G543" s="21"/>
    </row>
    <row r="544" spans="3:10" ht="12" hidden="1" customHeight="1" x14ac:dyDescent="0.25">
      <c r="C544" s="16"/>
      <c r="D544" s="33" t="s">
        <v>38</v>
      </c>
      <c r="E544" s="34"/>
      <c r="F544" s="6">
        <v>0</v>
      </c>
      <c r="G544" s="35">
        <f>+F544/F559</f>
        <v>0</v>
      </c>
    </row>
    <row r="545" spans="3:10" ht="12" customHeight="1" x14ac:dyDescent="0.25">
      <c r="C545" s="16" t="s">
        <v>47</v>
      </c>
      <c r="D545" s="32"/>
      <c r="E545" s="22"/>
      <c r="F545" s="23"/>
      <c r="G545" s="35"/>
    </row>
    <row r="546" spans="3:10" ht="12" customHeight="1" x14ac:dyDescent="0.25">
      <c r="C546" s="16"/>
      <c r="D546" s="17" t="s">
        <v>44</v>
      </c>
      <c r="E546" s="12">
        <v>14067.44</v>
      </c>
      <c r="F546" s="6"/>
      <c r="G546" s="5"/>
    </row>
    <row r="547" spans="3:10" ht="12" customHeight="1" x14ac:dyDescent="0.25">
      <c r="C547" s="16"/>
      <c r="D547" s="17" t="s">
        <v>8</v>
      </c>
      <c r="E547" s="22">
        <v>28643.55</v>
      </c>
      <c r="F547" s="24"/>
      <c r="G547" s="49"/>
    </row>
    <row r="548" spans="3:10" ht="12" customHeight="1" x14ac:dyDescent="0.25">
      <c r="C548" s="16"/>
      <c r="D548" s="17" t="s">
        <v>9</v>
      </c>
      <c r="E548" s="25">
        <v>53437.14</v>
      </c>
      <c r="F548" s="25">
        <f>SUM(E546:E549)</f>
        <v>96148.13</v>
      </c>
      <c r="G548" s="26">
        <f>+F548/F559</f>
        <v>6.4271934833004087E-3</v>
      </c>
    </row>
    <row r="549" spans="3:10" ht="12" hidden="1" customHeight="1" x14ac:dyDescent="0.25">
      <c r="C549" s="16"/>
      <c r="D549" s="17" t="s">
        <v>42</v>
      </c>
      <c r="E549" s="25">
        <v>0</v>
      </c>
    </row>
    <row r="550" spans="3:10" ht="12" customHeight="1" x14ac:dyDescent="0.25">
      <c r="C550" s="16"/>
      <c r="D550" s="27" t="s">
        <v>37</v>
      </c>
      <c r="E550" s="18"/>
      <c r="F550" s="28">
        <f>SUM(F533:F548)</f>
        <v>12976259.189999999</v>
      </c>
      <c r="G550" s="29">
        <f>+F550/F559</f>
        <v>0.86742122289414292</v>
      </c>
      <c r="J550" s="45">
        <f>86.74+13.26</f>
        <v>100</v>
      </c>
    </row>
    <row r="551" spans="3:10" ht="6" customHeight="1" x14ac:dyDescent="0.25">
      <c r="C551" s="16"/>
      <c r="D551" s="27"/>
      <c r="E551" s="18"/>
      <c r="F551" s="30"/>
      <c r="G551" s="31"/>
    </row>
    <row r="552" spans="3:10" ht="6" customHeight="1" x14ac:dyDescent="0.25">
      <c r="C552" s="16"/>
      <c r="D552" s="27"/>
      <c r="E552" s="18"/>
      <c r="F552" s="30"/>
      <c r="G552" s="31"/>
    </row>
    <row r="553" spans="3:10" ht="12" customHeight="1" x14ac:dyDescent="0.25">
      <c r="C553" s="16" t="s">
        <v>10</v>
      </c>
      <c r="D553" s="17"/>
      <c r="E553" s="18"/>
      <c r="F553" s="22"/>
      <c r="G553" s="21"/>
    </row>
    <row r="554" spans="3:10" ht="12" customHeight="1" x14ac:dyDescent="0.25">
      <c r="C554" s="16"/>
      <c r="D554" s="17" t="s">
        <v>11</v>
      </c>
      <c r="E554" s="12">
        <v>618239</v>
      </c>
      <c r="F554" s="22"/>
      <c r="G554" s="21"/>
    </row>
    <row r="555" spans="3:10" ht="12" customHeight="1" x14ac:dyDescent="0.25">
      <c r="C555" s="16"/>
      <c r="D555" s="17" t="s">
        <v>12</v>
      </c>
      <c r="E555" s="7">
        <v>1365084.13</v>
      </c>
      <c r="F555" s="25">
        <f>SUM(E554:E555)</f>
        <v>1983323.13</v>
      </c>
      <c r="G555" s="36">
        <f>+F555/F559</f>
        <v>0.13257877710585705</v>
      </c>
    </row>
    <row r="556" spans="3:10" ht="2.25" hidden="1" customHeight="1" x14ac:dyDescent="0.25">
      <c r="C556" s="16"/>
      <c r="D556" s="32"/>
      <c r="E556" s="22"/>
      <c r="F556" s="18"/>
      <c r="G556" s="21"/>
    </row>
    <row r="557" spans="3:10" ht="12" hidden="1" customHeight="1" x14ac:dyDescent="0.25">
      <c r="C557" s="16"/>
      <c r="D557" s="27" t="s">
        <v>37</v>
      </c>
      <c r="E557" s="18"/>
      <c r="F557" s="28">
        <f>SUM(F555)</f>
        <v>1983323.13</v>
      </c>
      <c r="G557" s="29">
        <f>+G555</f>
        <v>0.13257877710585705</v>
      </c>
    </row>
    <row r="558" spans="3:10" ht="2.4500000000000002" hidden="1" customHeight="1" x14ac:dyDescent="0.25">
      <c r="C558" s="16"/>
      <c r="D558" s="32"/>
      <c r="E558" s="22"/>
      <c r="F558" s="18"/>
      <c r="G558" s="21"/>
    </row>
    <row r="559" spans="3:10" ht="13.5" customHeight="1" thickBot="1" x14ac:dyDescent="0.3">
      <c r="C559" s="16"/>
      <c r="D559" s="37" t="s">
        <v>13</v>
      </c>
      <c r="E559" s="22"/>
      <c r="F559" s="38">
        <f>+F550+F557</f>
        <v>14959582.32</v>
      </c>
      <c r="G559" s="39">
        <f>+G550+G557</f>
        <v>1</v>
      </c>
    </row>
    <row r="560" spans="3:10" ht="6" customHeight="1" thickTop="1" x14ac:dyDescent="0.25">
      <c r="C560" s="40"/>
      <c r="D560" s="41"/>
      <c r="E560" s="42"/>
      <c r="F560" s="42"/>
      <c r="G560" s="36"/>
    </row>
    <row r="561" spans="3:10" ht="6" customHeight="1" x14ac:dyDescent="0.25">
      <c r="C561" s="52"/>
      <c r="D561" s="32"/>
      <c r="E561" s="44"/>
      <c r="F561" s="44"/>
      <c r="G561" s="53"/>
    </row>
    <row r="562" spans="3:10" x14ac:dyDescent="0.25">
      <c r="D562" s="2" t="s">
        <v>45</v>
      </c>
    </row>
    <row r="563" spans="3:10" ht="16.5" x14ac:dyDescent="0.3">
      <c r="C563" s="61" t="s">
        <v>27</v>
      </c>
      <c r="D563" s="61"/>
      <c r="E563" s="61"/>
      <c r="F563" s="61"/>
      <c r="G563" s="61"/>
    </row>
    <row r="564" spans="3:10" ht="6" customHeight="1" x14ac:dyDescent="0.25"/>
    <row r="565" spans="3:10" ht="12" customHeight="1" x14ac:dyDescent="0.25">
      <c r="C565" s="62" t="s">
        <v>1</v>
      </c>
      <c r="D565" s="63"/>
      <c r="E565" s="13" t="s">
        <v>35</v>
      </c>
      <c r="F565" s="14" t="s">
        <v>2</v>
      </c>
      <c r="G565" s="15" t="s">
        <v>3</v>
      </c>
    </row>
    <row r="566" spans="3:10" ht="12" customHeight="1" x14ac:dyDescent="0.25">
      <c r="C566" s="16" t="s">
        <v>46</v>
      </c>
      <c r="D566" s="17"/>
      <c r="E566" s="18"/>
      <c r="F566" s="19"/>
      <c r="G566" s="48"/>
    </row>
    <row r="567" spans="3:10" ht="12" customHeight="1" x14ac:dyDescent="0.25">
      <c r="C567" s="16"/>
      <c r="D567" s="17" t="s">
        <v>4</v>
      </c>
      <c r="E567" s="20">
        <v>5668738.3399999999</v>
      </c>
      <c r="G567" s="35"/>
    </row>
    <row r="568" spans="3:10" ht="12" customHeight="1" x14ac:dyDescent="0.25">
      <c r="C568" s="16"/>
      <c r="D568" s="17" t="s">
        <v>5</v>
      </c>
      <c r="E568" s="6">
        <v>1686659.65</v>
      </c>
      <c r="G568" s="35"/>
    </row>
    <row r="569" spans="3:10" ht="12" customHeight="1" x14ac:dyDescent="0.25">
      <c r="C569" s="16"/>
      <c r="D569" s="17" t="s">
        <v>33</v>
      </c>
      <c r="E569" s="6">
        <v>700163.26</v>
      </c>
      <c r="F569" s="23"/>
      <c r="G569" s="35"/>
      <c r="J569" s="45"/>
    </row>
    <row r="570" spans="3:10" ht="12" customHeight="1" x14ac:dyDescent="0.25">
      <c r="C570" s="16"/>
      <c r="D570" s="17" t="s">
        <v>6</v>
      </c>
      <c r="E570" s="6">
        <v>144008.93</v>
      </c>
      <c r="F570" s="23"/>
      <c r="G570" s="35"/>
    </row>
    <row r="571" spans="3:10" ht="12" customHeight="1" x14ac:dyDescent="0.25">
      <c r="C571" s="16"/>
      <c r="D571" s="17" t="s">
        <v>7</v>
      </c>
      <c r="E571" s="6">
        <v>174610.5</v>
      </c>
      <c r="F571" s="23"/>
      <c r="G571" s="35"/>
    </row>
    <row r="572" spans="3:10" ht="12" hidden="1" customHeight="1" x14ac:dyDescent="0.25">
      <c r="C572" s="16"/>
      <c r="D572" s="17" t="s">
        <v>31</v>
      </c>
      <c r="E572" s="6">
        <v>0</v>
      </c>
      <c r="F572" s="23"/>
      <c r="G572" s="35"/>
    </row>
    <row r="573" spans="3:10" ht="12" customHeight="1" x14ac:dyDescent="0.25">
      <c r="C573" s="16"/>
      <c r="D573" s="17" t="s">
        <v>32</v>
      </c>
      <c r="E573" s="6">
        <v>129922.92</v>
      </c>
      <c r="F573" s="23"/>
      <c r="G573" s="35"/>
    </row>
    <row r="574" spans="3:10" ht="12" customHeight="1" x14ac:dyDescent="0.25">
      <c r="C574" s="16"/>
      <c r="D574" s="17" t="s">
        <v>41</v>
      </c>
      <c r="E574" s="6">
        <v>3674611.74</v>
      </c>
      <c r="F574" s="23"/>
      <c r="G574" s="35"/>
    </row>
    <row r="575" spans="3:10" ht="12" customHeight="1" x14ac:dyDescent="0.25">
      <c r="C575" s="16"/>
      <c r="D575" s="17" t="s">
        <v>36</v>
      </c>
      <c r="E575" s="7">
        <v>910081</v>
      </c>
      <c r="F575" s="12">
        <f>SUM(E567:E575)</f>
        <v>13088796.34</v>
      </c>
      <c r="G575" s="35">
        <f>+F575/F593</f>
        <v>0.64950471713353541</v>
      </c>
      <c r="J575" s="45">
        <f>64.95+0.36+34.69</f>
        <v>100</v>
      </c>
    </row>
    <row r="576" spans="3:10" ht="2.4500000000000002" customHeight="1" x14ac:dyDescent="0.25">
      <c r="C576" s="16"/>
      <c r="D576" s="17"/>
      <c r="E576" s="18"/>
      <c r="F576" s="22"/>
      <c r="G576" s="21"/>
    </row>
    <row r="577" spans="3:10" ht="12" hidden="1" customHeight="1" x14ac:dyDescent="0.25">
      <c r="C577" s="16" t="s">
        <v>34</v>
      </c>
      <c r="D577" s="32"/>
      <c r="E577" s="22"/>
      <c r="F577" s="18"/>
      <c r="G577" s="21"/>
    </row>
    <row r="578" spans="3:10" ht="12" hidden="1" customHeight="1" x14ac:dyDescent="0.25">
      <c r="C578" s="16"/>
      <c r="D578" s="33" t="s">
        <v>38</v>
      </c>
      <c r="E578" s="34"/>
      <c r="F578" s="6">
        <v>0</v>
      </c>
      <c r="G578" s="35">
        <f>+F578/F593</f>
        <v>0</v>
      </c>
    </row>
    <row r="579" spans="3:10" ht="12" customHeight="1" x14ac:dyDescent="0.25">
      <c r="C579" s="16" t="s">
        <v>47</v>
      </c>
      <c r="D579" s="32"/>
      <c r="E579" s="22"/>
      <c r="F579" s="23"/>
      <c r="G579" s="35"/>
    </row>
    <row r="580" spans="3:10" ht="12" customHeight="1" x14ac:dyDescent="0.25">
      <c r="C580" s="16"/>
      <c r="D580" s="17" t="s">
        <v>44</v>
      </c>
      <c r="E580" s="12">
        <v>199.35</v>
      </c>
      <c r="F580" s="6"/>
      <c r="G580" s="5"/>
    </row>
    <row r="581" spans="3:10" ht="12" hidden="1" customHeight="1" x14ac:dyDescent="0.25">
      <c r="C581" s="16"/>
      <c r="D581" s="17" t="s">
        <v>8</v>
      </c>
      <c r="E581" s="6"/>
      <c r="F581" s="24"/>
      <c r="G581" s="49"/>
    </row>
    <row r="582" spans="3:10" ht="12" customHeight="1" x14ac:dyDescent="0.25">
      <c r="C582" s="16"/>
      <c r="D582" s="17" t="s">
        <v>9</v>
      </c>
      <c r="E582" s="60">
        <v>72651.7</v>
      </c>
      <c r="F582" s="7">
        <f>SUM(E580:E582)</f>
        <v>72851.05</v>
      </c>
      <c r="G582" s="26">
        <f>+F582/F593</f>
        <v>3.615084182991501E-3</v>
      </c>
    </row>
    <row r="583" spans="3:10" ht="12" hidden="1" customHeight="1" x14ac:dyDescent="0.25">
      <c r="C583" s="16"/>
      <c r="D583" s="17" t="s">
        <v>42</v>
      </c>
      <c r="E583" s="25">
        <v>0</v>
      </c>
      <c r="F583" s="25"/>
    </row>
    <row r="584" spans="3:10" ht="12" customHeight="1" x14ac:dyDescent="0.25">
      <c r="C584" s="16"/>
      <c r="D584" s="27" t="s">
        <v>37</v>
      </c>
      <c r="E584" s="18"/>
      <c r="F584" s="28">
        <f>SUM(F567:F583)</f>
        <v>13161647.390000001</v>
      </c>
      <c r="G584" s="29">
        <f>+F584/F593</f>
        <v>0.65311980131652692</v>
      </c>
      <c r="J584" s="45">
        <f>65.31+34.69</f>
        <v>100</v>
      </c>
    </row>
    <row r="585" spans="3:10" ht="6" customHeight="1" x14ac:dyDescent="0.25">
      <c r="C585" s="16"/>
      <c r="D585" s="27"/>
      <c r="E585" s="18"/>
      <c r="F585" s="30"/>
      <c r="G585" s="31"/>
    </row>
    <row r="586" spans="3:10" ht="6" customHeight="1" x14ac:dyDescent="0.25">
      <c r="C586" s="16"/>
      <c r="D586" s="27"/>
      <c r="E586" s="18"/>
      <c r="F586" s="30"/>
      <c r="G586" s="31"/>
    </row>
    <row r="587" spans="3:10" ht="12" customHeight="1" x14ac:dyDescent="0.25">
      <c r="C587" s="16" t="s">
        <v>10</v>
      </c>
      <c r="D587" s="17"/>
      <c r="E587" s="18"/>
      <c r="F587" s="22"/>
      <c r="G587" s="21"/>
    </row>
    <row r="588" spans="3:10" ht="12" customHeight="1" x14ac:dyDescent="0.25">
      <c r="C588" s="16"/>
      <c r="D588" s="17" t="s">
        <v>11</v>
      </c>
      <c r="E588" s="12">
        <v>4384479.5999999996</v>
      </c>
      <c r="F588" s="22"/>
      <c r="G588" s="21"/>
    </row>
    <row r="589" spans="3:10" ht="12" customHeight="1" x14ac:dyDescent="0.25">
      <c r="C589" s="16"/>
      <c r="D589" s="17" t="s">
        <v>12</v>
      </c>
      <c r="E589" s="7">
        <v>2605838.0299999998</v>
      </c>
      <c r="F589" s="25">
        <f>SUM(E588:E589)</f>
        <v>6990317.629999999</v>
      </c>
      <c r="G589" s="36">
        <f>+F589/F593</f>
        <v>0.34688019868347308</v>
      </c>
    </row>
    <row r="590" spans="3:10" ht="2.25" hidden="1" customHeight="1" x14ac:dyDescent="0.25">
      <c r="C590" s="16"/>
      <c r="D590" s="32"/>
      <c r="E590" s="22"/>
      <c r="F590" s="18"/>
      <c r="G590" s="21"/>
    </row>
    <row r="591" spans="3:10" ht="12" hidden="1" customHeight="1" x14ac:dyDescent="0.25">
      <c r="C591" s="16"/>
      <c r="D591" s="27" t="s">
        <v>37</v>
      </c>
      <c r="E591" s="18"/>
      <c r="F591" s="28">
        <f>SUM(F589)</f>
        <v>6990317.629999999</v>
      </c>
      <c r="G591" s="29">
        <f>+G589</f>
        <v>0.34688019868347308</v>
      </c>
    </row>
    <row r="592" spans="3:10" ht="2.4500000000000002" hidden="1" customHeight="1" x14ac:dyDescent="0.25">
      <c r="C592" s="16"/>
      <c r="D592" s="32"/>
      <c r="E592" s="22"/>
      <c r="F592" s="18"/>
      <c r="G592" s="21"/>
    </row>
    <row r="593" spans="3:7" ht="13.5" customHeight="1" thickBot="1" x14ac:dyDescent="0.3">
      <c r="C593" s="16"/>
      <c r="D593" s="37" t="s">
        <v>13</v>
      </c>
      <c r="E593" s="22"/>
      <c r="F593" s="38">
        <f>+F584+F591</f>
        <v>20151965.02</v>
      </c>
      <c r="G593" s="39">
        <f>+G584+G591</f>
        <v>1</v>
      </c>
    </row>
    <row r="594" spans="3:7" ht="6" customHeight="1" thickTop="1" x14ac:dyDescent="0.25">
      <c r="C594" s="40"/>
      <c r="D594" s="41"/>
      <c r="E594" s="42"/>
      <c r="F594" s="42"/>
      <c r="G594" s="36"/>
    </row>
    <row r="595" spans="3:7" x14ac:dyDescent="0.25">
      <c r="C595" s="8"/>
      <c r="D595" s="9"/>
      <c r="E595" s="10"/>
      <c r="F595" s="10"/>
      <c r="G595" s="11"/>
    </row>
    <row r="596" spans="3:7" x14ac:dyDescent="0.25">
      <c r="C596" s="8"/>
      <c r="D596" s="9"/>
      <c r="E596" s="10"/>
      <c r="F596" s="10"/>
      <c r="G596" s="11"/>
    </row>
    <row r="597" spans="3:7" ht="16.5" x14ac:dyDescent="0.3">
      <c r="C597" s="61" t="s">
        <v>28</v>
      </c>
      <c r="D597" s="61"/>
      <c r="E597" s="61"/>
      <c r="F597" s="61"/>
      <c r="G597" s="61"/>
    </row>
    <row r="598" spans="3:7" ht="6" customHeight="1" x14ac:dyDescent="0.25"/>
    <row r="599" spans="3:7" ht="12" customHeight="1" x14ac:dyDescent="0.25">
      <c r="C599" s="62" t="s">
        <v>1</v>
      </c>
      <c r="D599" s="63"/>
      <c r="E599" s="13" t="s">
        <v>35</v>
      </c>
      <c r="F599" s="14" t="s">
        <v>2</v>
      </c>
      <c r="G599" s="15" t="s">
        <v>3</v>
      </c>
    </row>
    <row r="600" spans="3:7" ht="12" customHeight="1" x14ac:dyDescent="0.25">
      <c r="C600" s="16" t="s">
        <v>46</v>
      </c>
      <c r="D600" s="17"/>
      <c r="E600" s="18"/>
      <c r="F600" s="19"/>
      <c r="G600" s="48"/>
    </row>
    <row r="601" spans="3:7" ht="12" customHeight="1" x14ac:dyDescent="0.25">
      <c r="C601" s="16"/>
      <c r="D601" s="17" t="s">
        <v>4</v>
      </c>
      <c r="E601" s="20">
        <v>4767615.8899999997</v>
      </c>
      <c r="G601" s="35"/>
    </row>
    <row r="602" spans="3:7" ht="12" customHeight="1" x14ac:dyDescent="0.25">
      <c r="C602" s="16"/>
      <c r="D602" s="17" t="s">
        <v>5</v>
      </c>
      <c r="E602" s="6">
        <v>1540790.19</v>
      </c>
      <c r="G602" s="35"/>
    </row>
    <row r="603" spans="3:7" ht="12" customHeight="1" x14ac:dyDescent="0.25">
      <c r="C603" s="16"/>
      <c r="D603" s="17" t="s">
        <v>33</v>
      </c>
      <c r="E603" s="6">
        <v>730018.71</v>
      </c>
      <c r="F603" s="23"/>
      <c r="G603" s="35"/>
    </row>
    <row r="604" spans="3:7" ht="12" customHeight="1" x14ac:dyDescent="0.25">
      <c r="C604" s="16"/>
      <c r="D604" s="17" t="s">
        <v>6</v>
      </c>
      <c r="E604" s="6">
        <v>376740.22</v>
      </c>
      <c r="F604" s="23"/>
      <c r="G604" s="35"/>
    </row>
    <row r="605" spans="3:7" ht="12" customHeight="1" x14ac:dyDescent="0.25">
      <c r="C605" s="16"/>
      <c r="D605" s="17" t="s">
        <v>7</v>
      </c>
      <c r="E605" s="6">
        <v>440636.04</v>
      </c>
      <c r="F605" s="23"/>
      <c r="G605" s="35"/>
    </row>
    <row r="606" spans="3:7" ht="12" hidden="1" customHeight="1" x14ac:dyDescent="0.25">
      <c r="C606" s="16"/>
      <c r="D606" s="17" t="s">
        <v>31</v>
      </c>
      <c r="E606" s="6">
        <v>0</v>
      </c>
      <c r="F606" s="23"/>
      <c r="G606" s="35"/>
    </row>
    <row r="607" spans="3:7" ht="12" customHeight="1" x14ac:dyDescent="0.25">
      <c r="C607" s="16"/>
      <c r="D607" s="17" t="s">
        <v>32</v>
      </c>
      <c r="E607" s="6">
        <v>77642.850000000006</v>
      </c>
      <c r="F607" s="23"/>
      <c r="G607" s="35"/>
    </row>
    <row r="608" spans="3:7" ht="12" customHeight="1" x14ac:dyDescent="0.25">
      <c r="C608" s="16"/>
      <c r="D608" s="17" t="s">
        <v>41</v>
      </c>
      <c r="E608" s="6">
        <v>2362109.79</v>
      </c>
      <c r="F608" s="23"/>
      <c r="G608" s="35"/>
    </row>
    <row r="609" spans="3:10" ht="12" customHeight="1" x14ac:dyDescent="0.25">
      <c r="C609" s="16"/>
      <c r="D609" s="17" t="s">
        <v>36</v>
      </c>
      <c r="E609" s="7">
        <v>2197671</v>
      </c>
      <c r="F609" s="12">
        <f>SUM(E601:E609)</f>
        <v>12493224.689999999</v>
      </c>
      <c r="G609" s="35">
        <f>+F609/F627</f>
        <v>0.3247737368416877</v>
      </c>
      <c r="J609" s="45">
        <f>32.48+0.02+67.5</f>
        <v>100</v>
      </c>
    </row>
    <row r="610" spans="3:10" ht="2.4500000000000002" customHeight="1" x14ac:dyDescent="0.25">
      <c r="C610" s="16"/>
      <c r="D610" s="17"/>
      <c r="E610" s="18"/>
      <c r="F610" s="22"/>
      <c r="G610" s="21"/>
    </row>
    <row r="611" spans="3:10" ht="12" hidden="1" customHeight="1" x14ac:dyDescent="0.25">
      <c r="C611" s="16" t="s">
        <v>34</v>
      </c>
      <c r="D611" s="32"/>
      <c r="E611" s="22"/>
      <c r="F611" s="18"/>
      <c r="G611" s="21"/>
    </row>
    <row r="612" spans="3:10" ht="12" hidden="1" customHeight="1" x14ac:dyDescent="0.25">
      <c r="C612" s="16"/>
      <c r="D612" s="33" t="s">
        <v>38</v>
      </c>
      <c r="E612" s="34"/>
      <c r="F612" s="6">
        <v>0</v>
      </c>
      <c r="G612" s="35">
        <f>+F612/F627</f>
        <v>0</v>
      </c>
    </row>
    <row r="613" spans="3:10" ht="12" customHeight="1" x14ac:dyDescent="0.25">
      <c r="C613" s="16" t="s">
        <v>47</v>
      </c>
      <c r="D613" s="32"/>
      <c r="E613" s="22"/>
      <c r="F613" s="23"/>
      <c r="G613" s="35"/>
    </row>
    <row r="614" spans="3:10" ht="12" hidden="1" customHeight="1" x14ac:dyDescent="0.25">
      <c r="C614" s="16"/>
      <c r="D614" s="17" t="s">
        <v>44</v>
      </c>
      <c r="E614" s="12">
        <v>0</v>
      </c>
      <c r="F614" s="6"/>
      <c r="G614" s="5"/>
    </row>
    <row r="615" spans="3:10" ht="12" customHeight="1" x14ac:dyDescent="0.25">
      <c r="C615" s="16"/>
      <c r="D615" s="17" t="s">
        <v>8</v>
      </c>
      <c r="E615" s="12">
        <v>2719.41</v>
      </c>
      <c r="F615" s="56"/>
      <c r="G615" s="5"/>
    </row>
    <row r="616" spans="3:10" ht="12" customHeight="1" x14ac:dyDescent="0.25">
      <c r="C616" s="16"/>
      <c r="D616" s="17" t="s">
        <v>9</v>
      </c>
      <c r="E616" s="25">
        <v>5177.6499999999996</v>
      </c>
      <c r="F616" s="25">
        <f>SUM(E615:E616)</f>
        <v>7897.0599999999995</v>
      </c>
      <c r="G616" s="26">
        <f>+F616/F627</f>
        <v>2.0529188819568234E-4</v>
      </c>
    </row>
    <row r="617" spans="3:10" ht="12" hidden="1" customHeight="1" x14ac:dyDescent="0.25">
      <c r="C617" s="16"/>
      <c r="D617" s="17" t="s">
        <v>42</v>
      </c>
      <c r="E617" s="25">
        <v>0</v>
      </c>
      <c r="F617" s="25"/>
    </row>
    <row r="618" spans="3:10" ht="12" customHeight="1" x14ac:dyDescent="0.25">
      <c r="C618" s="16"/>
      <c r="D618" s="27" t="s">
        <v>37</v>
      </c>
      <c r="E618" s="18"/>
      <c r="F618" s="28">
        <f>SUM(F601:F617)</f>
        <v>12501121.75</v>
      </c>
      <c r="G618" s="29">
        <f>+F618/F627</f>
        <v>0.32497902872988338</v>
      </c>
      <c r="J618" s="45">
        <f>32.5+67.5</f>
        <v>100</v>
      </c>
    </row>
    <row r="619" spans="3:10" ht="6" customHeight="1" x14ac:dyDescent="0.25">
      <c r="C619" s="16"/>
      <c r="D619" s="27"/>
      <c r="E619" s="18"/>
      <c r="F619" s="30"/>
      <c r="G619" s="31"/>
    </row>
    <row r="620" spans="3:10" ht="6" customHeight="1" x14ac:dyDescent="0.25">
      <c r="C620" s="16"/>
      <c r="D620" s="27"/>
      <c r="E620" s="18"/>
      <c r="F620" s="30"/>
      <c r="G620" s="31"/>
    </row>
    <row r="621" spans="3:10" ht="12" customHeight="1" x14ac:dyDescent="0.25">
      <c r="C621" s="16" t="s">
        <v>10</v>
      </c>
      <c r="D621" s="17"/>
      <c r="E621" s="18"/>
      <c r="F621" s="22"/>
      <c r="G621" s="21"/>
    </row>
    <row r="622" spans="3:10" ht="12" customHeight="1" x14ac:dyDescent="0.25">
      <c r="C622" s="16"/>
      <c r="D622" s="17" t="s">
        <v>11</v>
      </c>
      <c r="E622" s="12">
        <v>18227293.73</v>
      </c>
      <c r="F622" s="22"/>
      <c r="G622" s="21"/>
    </row>
    <row r="623" spans="3:10" ht="12" customHeight="1" x14ac:dyDescent="0.25">
      <c r="C623" s="16"/>
      <c r="D623" s="17" t="s">
        <v>12</v>
      </c>
      <c r="E623" s="7">
        <v>7739056.71</v>
      </c>
      <c r="F623" s="25">
        <f>SUM(E622:E623)</f>
        <v>25966350.440000001</v>
      </c>
      <c r="G623" s="36">
        <f>+F623/F627</f>
        <v>0.67502097127011673</v>
      </c>
    </row>
    <row r="624" spans="3:10" ht="2.25" hidden="1" customHeight="1" x14ac:dyDescent="0.25">
      <c r="C624" s="16"/>
      <c r="D624" s="32"/>
      <c r="E624" s="22"/>
      <c r="F624" s="18"/>
      <c r="G624" s="21"/>
    </row>
    <row r="625" spans="3:10" ht="12" hidden="1" customHeight="1" x14ac:dyDescent="0.25">
      <c r="C625" s="16"/>
      <c r="D625" s="27" t="s">
        <v>37</v>
      </c>
      <c r="E625" s="18"/>
      <c r="F625" s="28">
        <f>SUM(F623)</f>
        <v>25966350.440000001</v>
      </c>
      <c r="G625" s="29">
        <f>+G623</f>
        <v>0.67502097127011673</v>
      </c>
    </row>
    <row r="626" spans="3:10" ht="2.4500000000000002" hidden="1" customHeight="1" x14ac:dyDescent="0.25">
      <c r="C626" s="16"/>
      <c r="D626" s="32"/>
      <c r="E626" s="22"/>
      <c r="F626" s="18"/>
      <c r="G626" s="21"/>
    </row>
    <row r="627" spans="3:10" ht="13.5" customHeight="1" thickBot="1" x14ac:dyDescent="0.3">
      <c r="C627" s="16"/>
      <c r="D627" s="37" t="s">
        <v>13</v>
      </c>
      <c r="E627" s="22"/>
      <c r="F627" s="38">
        <f>+F618+F625</f>
        <v>38467472.189999998</v>
      </c>
      <c r="G627" s="39">
        <f>+G618+G625</f>
        <v>1</v>
      </c>
    </row>
    <row r="628" spans="3:10" ht="6" customHeight="1" thickTop="1" x14ac:dyDescent="0.25">
      <c r="C628" s="40"/>
      <c r="D628" s="41"/>
      <c r="E628" s="42"/>
      <c r="F628" s="42"/>
      <c r="G628" s="36"/>
    </row>
    <row r="629" spans="3:10" x14ac:dyDescent="0.25">
      <c r="F629" s="2"/>
    </row>
    <row r="630" spans="3:10" x14ac:dyDescent="0.25">
      <c r="D630" s="2" t="s">
        <v>45</v>
      </c>
    </row>
    <row r="631" spans="3:10" ht="16.5" x14ac:dyDescent="0.3">
      <c r="C631" s="61" t="s">
        <v>29</v>
      </c>
      <c r="D631" s="61"/>
      <c r="E631" s="61"/>
      <c r="F631" s="61"/>
      <c r="G631" s="61"/>
    </row>
    <row r="632" spans="3:10" ht="6" customHeight="1" x14ac:dyDescent="0.25"/>
    <row r="633" spans="3:10" ht="12" customHeight="1" x14ac:dyDescent="0.25">
      <c r="C633" s="62" t="s">
        <v>1</v>
      </c>
      <c r="D633" s="63"/>
      <c r="E633" s="13" t="s">
        <v>35</v>
      </c>
      <c r="F633" s="14" t="s">
        <v>2</v>
      </c>
      <c r="G633" s="15" t="s">
        <v>3</v>
      </c>
    </row>
    <row r="634" spans="3:10" ht="12" customHeight="1" x14ac:dyDescent="0.25">
      <c r="C634" s="16" t="s">
        <v>46</v>
      </c>
      <c r="D634" s="17"/>
      <c r="E634" s="18"/>
      <c r="F634" s="19"/>
      <c r="G634" s="48"/>
    </row>
    <row r="635" spans="3:10" ht="12" customHeight="1" x14ac:dyDescent="0.25">
      <c r="C635" s="16"/>
      <c r="D635" s="17" t="s">
        <v>4</v>
      </c>
      <c r="E635" s="20">
        <v>4581883.04</v>
      </c>
      <c r="G635" s="35"/>
    </row>
    <row r="636" spans="3:10" ht="12" customHeight="1" x14ac:dyDescent="0.25">
      <c r="C636" s="16"/>
      <c r="D636" s="17" t="s">
        <v>5</v>
      </c>
      <c r="E636" s="6">
        <v>1625058</v>
      </c>
      <c r="G636" s="35"/>
    </row>
    <row r="637" spans="3:10" ht="12" customHeight="1" x14ac:dyDescent="0.25">
      <c r="C637" s="16"/>
      <c r="D637" s="17" t="s">
        <v>33</v>
      </c>
      <c r="E637" s="6">
        <v>720910.27</v>
      </c>
      <c r="F637" s="23"/>
      <c r="G637" s="35"/>
      <c r="J637" s="45"/>
    </row>
    <row r="638" spans="3:10" ht="12" customHeight="1" x14ac:dyDescent="0.25">
      <c r="C638" s="16"/>
      <c r="D638" s="17" t="s">
        <v>6</v>
      </c>
      <c r="E638" s="6">
        <v>126057.44</v>
      </c>
      <c r="F638" s="23"/>
      <c r="G638" s="35"/>
    </row>
    <row r="639" spans="3:10" ht="12" customHeight="1" x14ac:dyDescent="0.25">
      <c r="C639" s="16"/>
      <c r="D639" s="17" t="s">
        <v>7</v>
      </c>
      <c r="E639" s="6">
        <v>151849.06</v>
      </c>
      <c r="F639" s="23"/>
      <c r="G639" s="35"/>
    </row>
    <row r="640" spans="3:10" ht="12" hidden="1" customHeight="1" x14ac:dyDescent="0.25">
      <c r="C640" s="16"/>
      <c r="D640" s="17" t="s">
        <v>31</v>
      </c>
      <c r="E640" s="6">
        <v>0</v>
      </c>
      <c r="F640" s="23"/>
      <c r="G640" s="35"/>
    </row>
    <row r="641" spans="3:10" ht="12" customHeight="1" x14ac:dyDescent="0.25">
      <c r="C641" s="16"/>
      <c r="D641" s="17" t="s">
        <v>32</v>
      </c>
      <c r="E641" s="6">
        <v>56496.17</v>
      </c>
      <c r="F641" s="56"/>
      <c r="G641" s="5"/>
    </row>
    <row r="642" spans="3:10" ht="12" customHeight="1" x14ac:dyDescent="0.25">
      <c r="C642" s="16"/>
      <c r="D642" s="17" t="s">
        <v>41</v>
      </c>
      <c r="E642" s="6">
        <v>1623176.98</v>
      </c>
      <c r="F642" s="23"/>
      <c r="G642" s="35"/>
    </row>
    <row r="643" spans="3:10" ht="12" customHeight="1" x14ac:dyDescent="0.25">
      <c r="C643" s="16"/>
      <c r="D643" s="17" t="s">
        <v>36</v>
      </c>
      <c r="E643" s="7">
        <v>1808876</v>
      </c>
      <c r="F643" s="12">
        <f>SUM(E635:E643)</f>
        <v>10694306.960000001</v>
      </c>
      <c r="G643" s="35">
        <f>+F643/F661-0.0001</f>
        <v>0.55766026558748805</v>
      </c>
    </row>
    <row r="644" spans="3:10" ht="2.4500000000000002" customHeight="1" x14ac:dyDescent="0.25">
      <c r="C644" s="16"/>
      <c r="D644" s="17"/>
      <c r="E644" s="18"/>
      <c r="F644" s="22"/>
      <c r="G644" s="21"/>
    </row>
    <row r="645" spans="3:10" ht="12" hidden="1" customHeight="1" x14ac:dyDescent="0.25">
      <c r="C645" s="16" t="s">
        <v>34</v>
      </c>
      <c r="D645" s="32"/>
      <c r="E645" s="22"/>
      <c r="F645" s="18"/>
      <c r="G645" s="21"/>
    </row>
    <row r="646" spans="3:10" ht="12" hidden="1" customHeight="1" x14ac:dyDescent="0.25">
      <c r="C646" s="16"/>
      <c r="D646" s="33" t="s">
        <v>38</v>
      </c>
      <c r="E646" s="34"/>
      <c r="F646" s="6">
        <v>0</v>
      </c>
      <c r="G646" s="35">
        <f>+F646/F661</f>
        <v>0</v>
      </c>
    </row>
    <row r="647" spans="3:10" ht="12" customHeight="1" x14ac:dyDescent="0.25">
      <c r="C647" s="16" t="s">
        <v>47</v>
      </c>
      <c r="D647" s="32"/>
      <c r="E647" s="22"/>
      <c r="F647" s="23"/>
      <c r="G647" s="35"/>
      <c r="J647" s="45">
        <f>55.77+0.01+44.22</f>
        <v>100</v>
      </c>
    </row>
    <row r="648" spans="3:10" ht="12" customHeight="1" x14ac:dyDescent="0.25">
      <c r="C648" s="16"/>
      <c r="D648" s="17" t="s">
        <v>44</v>
      </c>
      <c r="E648" s="12">
        <v>166.95</v>
      </c>
      <c r="F648" s="6"/>
      <c r="G648" s="5"/>
    </row>
    <row r="649" spans="3:10" ht="12" customHeight="1" x14ac:dyDescent="0.25">
      <c r="C649" s="16"/>
      <c r="D649" s="32" t="s">
        <v>8</v>
      </c>
      <c r="E649" s="22">
        <v>1026.5</v>
      </c>
      <c r="G649" s="5"/>
    </row>
    <row r="650" spans="3:10" ht="12" customHeight="1" x14ac:dyDescent="0.25">
      <c r="C650" s="16"/>
      <c r="D650" s="17" t="s">
        <v>9</v>
      </c>
      <c r="E650" s="25">
        <v>187.92</v>
      </c>
      <c r="F650" s="7">
        <f>SUM(E648:E650)</f>
        <v>1381.3700000000001</v>
      </c>
      <c r="G650" s="26">
        <f>+F650/F661</f>
        <v>7.2045182633750427E-5</v>
      </c>
    </row>
    <row r="651" spans="3:10" ht="12" hidden="1" customHeight="1" x14ac:dyDescent="0.25">
      <c r="C651" s="16"/>
      <c r="D651" s="17" t="s">
        <v>42</v>
      </c>
      <c r="E651" s="25">
        <v>0</v>
      </c>
    </row>
    <row r="652" spans="3:10" ht="12" customHeight="1" x14ac:dyDescent="0.25">
      <c r="C652" s="16"/>
      <c r="D652" s="27" t="s">
        <v>37</v>
      </c>
      <c r="E652" s="18"/>
      <c r="F652" s="28">
        <f>SUM(F635:F650)</f>
        <v>10695688.33</v>
      </c>
      <c r="G652" s="29">
        <f>+F652/F661</f>
        <v>0.55783231077012174</v>
      </c>
      <c r="J652" s="45">
        <f>55.78+44.22</f>
        <v>100</v>
      </c>
    </row>
    <row r="653" spans="3:10" ht="6" customHeight="1" x14ac:dyDescent="0.25">
      <c r="C653" s="16"/>
      <c r="D653" s="27"/>
      <c r="E653" s="18"/>
      <c r="F653" s="30"/>
      <c r="G653" s="31"/>
    </row>
    <row r="654" spans="3:10" ht="6" customHeight="1" x14ac:dyDescent="0.25">
      <c r="C654" s="16"/>
      <c r="D654" s="27"/>
      <c r="E654" s="18"/>
      <c r="F654" s="30"/>
      <c r="G654" s="31"/>
    </row>
    <row r="655" spans="3:10" ht="12" customHeight="1" x14ac:dyDescent="0.25">
      <c r="C655" s="16" t="s">
        <v>10</v>
      </c>
      <c r="D655" s="17"/>
      <c r="E655" s="18"/>
      <c r="F655" s="22"/>
      <c r="G655" s="21"/>
    </row>
    <row r="656" spans="3:10" ht="12" customHeight="1" x14ac:dyDescent="0.25">
      <c r="C656" s="16"/>
      <c r="D656" s="17" t="s">
        <v>11</v>
      </c>
      <c r="E656" s="12">
        <v>6181778.2800000003</v>
      </c>
      <c r="F656" s="22"/>
      <c r="G656" s="21"/>
    </row>
    <row r="657" spans="3:7" ht="12" customHeight="1" x14ac:dyDescent="0.25">
      <c r="C657" s="16"/>
      <c r="D657" s="17" t="s">
        <v>12</v>
      </c>
      <c r="E657" s="7">
        <v>2296195.66</v>
      </c>
      <c r="F657" s="7">
        <f>SUM(E656:E657)</f>
        <v>8477973.9400000013</v>
      </c>
      <c r="G657" s="36">
        <f>+F657/F661</f>
        <v>0.44216768922987815</v>
      </c>
    </row>
    <row r="658" spans="3:7" ht="2.25" hidden="1" customHeight="1" x14ac:dyDescent="0.25">
      <c r="C658" s="16"/>
      <c r="D658" s="32"/>
      <c r="E658" s="22"/>
      <c r="F658" s="18"/>
      <c r="G658" s="21"/>
    </row>
    <row r="659" spans="3:7" ht="12" hidden="1" customHeight="1" x14ac:dyDescent="0.25">
      <c r="C659" s="16"/>
      <c r="D659" s="27" t="s">
        <v>37</v>
      </c>
      <c r="E659" s="18"/>
      <c r="F659" s="28">
        <f>SUM(F657)</f>
        <v>8477973.9400000013</v>
      </c>
      <c r="G659" s="29">
        <f>+G657</f>
        <v>0.44216768922987815</v>
      </c>
    </row>
    <row r="660" spans="3:7" ht="2.4500000000000002" hidden="1" customHeight="1" x14ac:dyDescent="0.25">
      <c r="C660" s="16"/>
      <c r="D660" s="32"/>
      <c r="E660" s="22"/>
      <c r="F660" s="18"/>
      <c r="G660" s="21"/>
    </row>
    <row r="661" spans="3:7" ht="13.5" customHeight="1" thickBot="1" x14ac:dyDescent="0.3">
      <c r="C661" s="16"/>
      <c r="D661" s="37" t="s">
        <v>13</v>
      </c>
      <c r="E661" s="22"/>
      <c r="F661" s="38">
        <f>+F652+F659</f>
        <v>19173662.270000003</v>
      </c>
      <c r="G661" s="39">
        <f>+G652+G659</f>
        <v>0.99999999999999989</v>
      </c>
    </row>
    <row r="662" spans="3:7" ht="6" customHeight="1" thickTop="1" x14ac:dyDescent="0.25">
      <c r="C662" s="40"/>
      <c r="D662" s="41"/>
      <c r="E662" s="42"/>
      <c r="F662" s="42"/>
      <c r="G662" s="36"/>
    </row>
    <row r="663" spans="3:7" x14ac:dyDescent="0.25">
      <c r="C663" s="8"/>
      <c r="D663" s="9"/>
      <c r="E663" s="10"/>
      <c r="F663" s="10"/>
      <c r="G663" s="11"/>
    </row>
    <row r="664" spans="3:7" x14ac:dyDescent="0.25">
      <c r="C664" s="8"/>
      <c r="D664" s="9"/>
      <c r="E664" s="10"/>
      <c r="F664" s="10"/>
      <c r="G664" s="11"/>
    </row>
    <row r="665" spans="3:7" x14ac:dyDescent="0.25">
      <c r="C665" s="8"/>
      <c r="D665" s="9"/>
      <c r="E665" s="10"/>
      <c r="F665" s="10"/>
      <c r="G665" s="11"/>
    </row>
    <row r="666" spans="3:7" ht="16.5" x14ac:dyDescent="0.3">
      <c r="C666" s="61" t="s">
        <v>30</v>
      </c>
      <c r="D666" s="61"/>
      <c r="E666" s="61"/>
      <c r="F666" s="61"/>
      <c r="G666" s="61"/>
    </row>
    <row r="667" spans="3:7" ht="5.25" customHeight="1" x14ac:dyDescent="0.25"/>
    <row r="668" spans="3:7" ht="12" customHeight="1" x14ac:dyDescent="0.25">
      <c r="C668" s="62" t="s">
        <v>1</v>
      </c>
      <c r="D668" s="63"/>
      <c r="E668" s="13" t="s">
        <v>35</v>
      </c>
      <c r="F668" s="14" t="s">
        <v>2</v>
      </c>
      <c r="G668" s="15" t="s">
        <v>3</v>
      </c>
    </row>
    <row r="669" spans="3:7" ht="12" customHeight="1" x14ac:dyDescent="0.25">
      <c r="C669" s="16" t="s">
        <v>46</v>
      </c>
      <c r="D669" s="17"/>
      <c r="E669" s="18"/>
      <c r="F669" s="19"/>
      <c r="G669" s="48"/>
    </row>
    <row r="670" spans="3:7" ht="12" customHeight="1" x14ac:dyDescent="0.25">
      <c r="C670" s="16"/>
      <c r="D670" s="17" t="s">
        <v>4</v>
      </c>
      <c r="E670" s="20">
        <v>9854548.1699999999</v>
      </c>
      <c r="G670" s="35"/>
    </row>
    <row r="671" spans="3:7" ht="12" customHeight="1" x14ac:dyDescent="0.25">
      <c r="C671" s="16"/>
      <c r="D671" s="17" t="s">
        <v>5</v>
      </c>
      <c r="E671" s="6">
        <v>1918678.47</v>
      </c>
      <c r="G671" s="35"/>
    </row>
    <row r="672" spans="3:7" ht="12" customHeight="1" x14ac:dyDescent="0.25">
      <c r="C672" s="16"/>
      <c r="D672" s="17" t="s">
        <v>33</v>
      </c>
      <c r="E672" s="6">
        <v>505849.83</v>
      </c>
      <c r="F672" s="23"/>
      <c r="G672" s="35"/>
    </row>
    <row r="673" spans="3:10" ht="12" customHeight="1" x14ac:dyDescent="0.25">
      <c r="C673" s="16"/>
      <c r="D673" s="17" t="s">
        <v>6</v>
      </c>
      <c r="E673" s="6">
        <v>1095063.49</v>
      </c>
      <c r="F673" s="23"/>
      <c r="G673" s="35"/>
    </row>
    <row r="674" spans="3:10" ht="12" customHeight="1" x14ac:dyDescent="0.25">
      <c r="C674" s="16"/>
      <c r="D674" s="17" t="s">
        <v>7</v>
      </c>
      <c r="E674" s="6">
        <v>2345937.16</v>
      </c>
      <c r="F674" s="23"/>
      <c r="G674" s="35"/>
    </row>
    <row r="675" spans="3:10" ht="12" hidden="1" customHeight="1" x14ac:dyDescent="0.25">
      <c r="C675" s="16"/>
      <c r="D675" s="17" t="s">
        <v>31</v>
      </c>
      <c r="E675" s="6">
        <v>0</v>
      </c>
      <c r="F675" s="23"/>
      <c r="G675" s="35"/>
    </row>
    <row r="676" spans="3:10" ht="12" customHeight="1" x14ac:dyDescent="0.25">
      <c r="C676" s="16"/>
      <c r="D676" s="17" t="s">
        <v>32</v>
      </c>
      <c r="E676" s="6">
        <v>220006.73</v>
      </c>
      <c r="F676" s="23"/>
      <c r="G676" s="35"/>
    </row>
    <row r="677" spans="3:10" ht="12" customHeight="1" x14ac:dyDescent="0.25">
      <c r="C677" s="16"/>
      <c r="D677" s="17" t="s">
        <v>41</v>
      </c>
      <c r="E677" s="6">
        <v>9611211.4399999995</v>
      </c>
      <c r="F677" s="23"/>
      <c r="G677" s="35"/>
    </row>
    <row r="678" spans="3:10" ht="12" customHeight="1" x14ac:dyDescent="0.25">
      <c r="C678" s="16"/>
      <c r="D678" s="17" t="s">
        <v>36</v>
      </c>
      <c r="E678" s="7">
        <v>15838343</v>
      </c>
      <c r="F678" s="12">
        <f>SUM(E670:E678)</f>
        <v>41389638.289999999</v>
      </c>
      <c r="G678" s="35">
        <f>+F678/F696</f>
        <v>0.54765165464713306</v>
      </c>
    </row>
    <row r="679" spans="3:10" ht="2.4500000000000002" customHeight="1" x14ac:dyDescent="0.25">
      <c r="C679" s="16"/>
      <c r="D679" s="17"/>
      <c r="E679" s="18"/>
      <c r="F679" s="22"/>
      <c r="G679" s="21"/>
    </row>
    <row r="680" spans="3:10" ht="12" customHeight="1" x14ac:dyDescent="0.25">
      <c r="C680" s="16" t="s">
        <v>34</v>
      </c>
      <c r="D680" s="32"/>
      <c r="E680" s="22"/>
      <c r="F680" s="18"/>
      <c r="G680" s="21"/>
      <c r="J680" s="45">
        <f>54.77+6.15+0.1+38.98</f>
        <v>100</v>
      </c>
    </row>
    <row r="681" spans="3:10" ht="12" customHeight="1" x14ac:dyDescent="0.25">
      <c r="C681" s="16"/>
      <c r="D681" s="33" t="s">
        <v>38</v>
      </c>
      <c r="E681" s="34"/>
      <c r="F681" s="6">
        <v>4645211.76</v>
      </c>
      <c r="G681" s="35">
        <f>+F681/F696</f>
        <v>6.1463641907809501E-2</v>
      </c>
    </row>
    <row r="682" spans="3:10" ht="12" customHeight="1" x14ac:dyDescent="0.25">
      <c r="C682" s="16" t="s">
        <v>47</v>
      </c>
      <c r="D682" s="32"/>
      <c r="E682" s="22"/>
      <c r="F682" s="23"/>
      <c r="G682" s="35"/>
    </row>
    <row r="683" spans="3:10" ht="12" customHeight="1" x14ac:dyDescent="0.25">
      <c r="C683" s="16"/>
      <c r="D683" s="17" t="s">
        <v>44</v>
      </c>
      <c r="E683" s="57"/>
      <c r="F683" s="7">
        <v>81507.61</v>
      </c>
      <c r="G683" s="26">
        <f>+F683/F696-0.0001</f>
        <v>9.7847710990066751E-4</v>
      </c>
    </row>
    <row r="684" spans="3:10" ht="12" hidden="1" customHeight="1" x14ac:dyDescent="0.25">
      <c r="C684" s="16"/>
      <c r="D684" s="17" t="s">
        <v>8</v>
      </c>
      <c r="E684" s="22"/>
      <c r="F684" s="24"/>
      <c r="G684" s="49"/>
    </row>
    <row r="685" spans="3:10" ht="12" hidden="1" customHeight="1" x14ac:dyDescent="0.25">
      <c r="C685" s="16"/>
      <c r="D685" s="17" t="s">
        <v>9</v>
      </c>
      <c r="E685" s="22"/>
      <c r="F685" s="2"/>
      <c r="G685" s="51"/>
    </row>
    <row r="686" spans="3:10" ht="12" hidden="1" customHeight="1" x14ac:dyDescent="0.25">
      <c r="C686" s="16"/>
      <c r="D686" s="17" t="s">
        <v>42</v>
      </c>
      <c r="E686" s="25"/>
      <c r="F686" s="25">
        <f>SUM(E683:E686)</f>
        <v>0</v>
      </c>
    </row>
    <row r="687" spans="3:10" ht="12" customHeight="1" x14ac:dyDescent="0.25">
      <c r="C687" s="16"/>
      <c r="D687" s="27" t="s">
        <v>37</v>
      </c>
      <c r="E687" s="18"/>
      <c r="F687" s="28">
        <f>SUM(F670:F686)</f>
        <v>46116357.659999996</v>
      </c>
      <c r="G687" s="29">
        <f>+F687/F696</f>
        <v>0.61019377366484318</v>
      </c>
      <c r="J687" s="45">
        <f>61.02+38.98</f>
        <v>100</v>
      </c>
    </row>
    <row r="688" spans="3:10" ht="6" customHeight="1" x14ac:dyDescent="0.25">
      <c r="C688" s="16"/>
      <c r="D688" s="27"/>
      <c r="E688" s="18"/>
      <c r="F688" s="30"/>
      <c r="G688" s="31"/>
    </row>
    <row r="689" spans="3:7" ht="6" customHeight="1" x14ac:dyDescent="0.25">
      <c r="C689" s="16"/>
      <c r="D689" s="27"/>
      <c r="E689" s="18"/>
      <c r="F689" s="30"/>
      <c r="G689" s="31"/>
    </row>
    <row r="690" spans="3:7" ht="12" customHeight="1" x14ac:dyDescent="0.25">
      <c r="C690" s="16" t="s">
        <v>10</v>
      </c>
      <c r="D690" s="17"/>
      <c r="E690" s="18"/>
      <c r="F690" s="22"/>
      <c r="G690" s="21"/>
    </row>
    <row r="691" spans="3:7" ht="12" customHeight="1" x14ac:dyDescent="0.25">
      <c r="C691" s="16"/>
      <c r="D691" s="17" t="s">
        <v>11</v>
      </c>
      <c r="E691" s="12">
        <v>2109388.9</v>
      </c>
      <c r="F691" s="22"/>
      <c r="G691" s="21"/>
    </row>
    <row r="692" spans="3:7" ht="12" customHeight="1" x14ac:dyDescent="0.25">
      <c r="C692" s="16"/>
      <c r="D692" s="17" t="s">
        <v>12</v>
      </c>
      <c r="E692" s="7">
        <v>27350831.98</v>
      </c>
      <c r="F692" s="25">
        <f>SUM(E691:E692)</f>
        <v>29460220.879999999</v>
      </c>
      <c r="G692" s="36">
        <f>+F692/F696</f>
        <v>0.38980622633515688</v>
      </c>
    </row>
    <row r="693" spans="3:7" ht="2.25" hidden="1" customHeight="1" x14ac:dyDescent="0.25">
      <c r="C693" s="16"/>
      <c r="D693" s="32"/>
      <c r="E693" s="22"/>
      <c r="F693" s="18"/>
      <c r="G693" s="21"/>
    </row>
    <row r="694" spans="3:7" ht="12" hidden="1" customHeight="1" x14ac:dyDescent="0.25">
      <c r="C694" s="16"/>
      <c r="D694" s="27" t="s">
        <v>37</v>
      </c>
      <c r="E694" s="18"/>
      <c r="F694" s="28">
        <f>SUM(F692)</f>
        <v>29460220.879999999</v>
      </c>
      <c r="G694" s="29">
        <f>+G692</f>
        <v>0.38980622633515688</v>
      </c>
    </row>
    <row r="695" spans="3:7" ht="2.4500000000000002" hidden="1" customHeight="1" x14ac:dyDescent="0.25">
      <c r="C695" s="16"/>
      <c r="D695" s="32"/>
      <c r="E695" s="22"/>
      <c r="F695" s="18"/>
      <c r="G695" s="21"/>
    </row>
    <row r="696" spans="3:7" ht="13.5" customHeight="1" thickBot="1" x14ac:dyDescent="0.3">
      <c r="C696" s="16"/>
      <c r="D696" s="37" t="s">
        <v>13</v>
      </c>
      <c r="E696" s="22"/>
      <c r="F696" s="38">
        <f>+F687+F694</f>
        <v>75576578.539999992</v>
      </c>
      <c r="G696" s="39">
        <f>+G687+G694</f>
        <v>1</v>
      </c>
    </row>
    <row r="697" spans="3:7" ht="6" customHeight="1" thickTop="1" x14ac:dyDescent="0.25">
      <c r="C697" s="40"/>
      <c r="D697" s="41"/>
      <c r="E697" s="42"/>
      <c r="F697" s="42"/>
      <c r="G697" s="36"/>
    </row>
    <row r="699" spans="3:7" x14ac:dyDescent="0.25">
      <c r="D699" s="2" t="s">
        <v>45</v>
      </c>
      <c r="F699" s="2"/>
    </row>
    <row r="700" spans="3:7" x14ac:dyDescent="0.25">
      <c r="F700" s="2"/>
    </row>
    <row r="701" spans="3:7" ht="13.5" customHeight="1" x14ac:dyDescent="0.3">
      <c r="C701" s="61" t="s">
        <v>43</v>
      </c>
      <c r="D701" s="61"/>
      <c r="E701" s="61"/>
      <c r="F701" s="61"/>
      <c r="G701" s="61"/>
    </row>
    <row r="702" spans="3:7" ht="12" customHeight="1" x14ac:dyDescent="0.25">
      <c r="C702" s="62" t="s">
        <v>1</v>
      </c>
      <c r="D702" s="63"/>
      <c r="E702" s="13" t="s">
        <v>35</v>
      </c>
      <c r="F702" s="14" t="s">
        <v>2</v>
      </c>
      <c r="G702" s="15" t="s">
        <v>3</v>
      </c>
    </row>
    <row r="703" spans="3:7" ht="12" customHeight="1" x14ac:dyDescent="0.25">
      <c r="C703" s="16" t="s">
        <v>46</v>
      </c>
      <c r="D703" s="17"/>
      <c r="E703" s="18"/>
      <c r="F703" s="19"/>
      <c r="G703" s="48"/>
    </row>
    <row r="704" spans="3:7" ht="12" customHeight="1" x14ac:dyDescent="0.25">
      <c r="C704" s="16"/>
      <c r="D704" s="17" t="s">
        <v>4</v>
      </c>
      <c r="E704" s="20">
        <f t="shared" ref="E704:E712" si="0">+E22+E56+E90+E124+E158+E192+E226+E260+E294+E328+E362+E396+E430+E464+E499+E533+E567+E601+E635+E670</f>
        <v>282751141.25999999</v>
      </c>
      <c r="G704" s="35"/>
    </row>
    <row r="705" spans="3:10" ht="12" customHeight="1" x14ac:dyDescent="0.25">
      <c r="C705" s="16"/>
      <c r="D705" s="17" t="s">
        <v>5</v>
      </c>
      <c r="E705" s="6">
        <f t="shared" si="0"/>
        <v>105772157.00000001</v>
      </c>
      <c r="G705" s="35"/>
    </row>
    <row r="706" spans="3:10" ht="12" customHeight="1" x14ac:dyDescent="0.25">
      <c r="C706" s="16"/>
      <c r="D706" s="17" t="s">
        <v>33</v>
      </c>
      <c r="E706" s="6">
        <f t="shared" si="0"/>
        <v>10036032.52</v>
      </c>
      <c r="F706" s="23"/>
      <c r="G706" s="35"/>
    </row>
    <row r="707" spans="3:10" ht="12" customHeight="1" x14ac:dyDescent="0.25">
      <c r="C707" s="16"/>
      <c r="D707" s="17" t="s">
        <v>6</v>
      </c>
      <c r="E707" s="6">
        <f t="shared" si="0"/>
        <v>11439921.389999999</v>
      </c>
      <c r="F707" s="23"/>
      <c r="G707" s="35"/>
    </row>
    <row r="708" spans="3:10" ht="12" customHeight="1" x14ac:dyDescent="0.25">
      <c r="C708" s="16"/>
      <c r="D708" s="17" t="s">
        <v>7</v>
      </c>
      <c r="E708" s="6">
        <f t="shared" si="0"/>
        <v>18973478.5</v>
      </c>
      <c r="F708" s="23"/>
      <c r="G708" s="35"/>
    </row>
    <row r="709" spans="3:10" ht="12" hidden="1" customHeight="1" x14ac:dyDescent="0.25">
      <c r="C709" s="16"/>
      <c r="D709" s="17" t="s">
        <v>31</v>
      </c>
      <c r="E709" s="6">
        <f t="shared" si="0"/>
        <v>0</v>
      </c>
      <c r="F709" s="23"/>
      <c r="G709" s="35"/>
    </row>
    <row r="710" spans="3:10" ht="12" customHeight="1" x14ac:dyDescent="0.25">
      <c r="C710" s="16"/>
      <c r="D710" s="17" t="s">
        <v>32</v>
      </c>
      <c r="E710" s="6">
        <f t="shared" si="0"/>
        <v>2342441.2599999998</v>
      </c>
      <c r="F710" s="23"/>
      <c r="G710" s="35"/>
    </row>
    <row r="711" spans="3:10" ht="12" customHeight="1" x14ac:dyDescent="0.25">
      <c r="C711" s="16"/>
      <c r="D711" s="17" t="s">
        <v>41</v>
      </c>
      <c r="E711" s="6">
        <f t="shared" si="0"/>
        <v>79285810.299999997</v>
      </c>
      <c r="F711" s="23"/>
      <c r="G711" s="35"/>
    </row>
    <row r="712" spans="3:10" ht="12" customHeight="1" x14ac:dyDescent="0.25">
      <c r="C712" s="16"/>
      <c r="D712" s="17" t="s">
        <v>36</v>
      </c>
      <c r="E712" s="7">
        <f t="shared" si="0"/>
        <v>126838682</v>
      </c>
      <c r="F712" s="12">
        <f>SUM(E704:E712)</f>
        <v>637439664.23000002</v>
      </c>
      <c r="G712" s="35">
        <f>+F712/F730</f>
        <v>0.67843396871557404</v>
      </c>
      <c r="J712" s="45">
        <f>67.84+0.88+0.32+30.96</f>
        <v>100</v>
      </c>
    </row>
    <row r="713" spans="3:10" ht="2.4500000000000002" customHeight="1" x14ac:dyDescent="0.25">
      <c r="C713" s="16"/>
      <c r="D713" s="17"/>
      <c r="E713" s="18"/>
      <c r="F713" s="22"/>
      <c r="G713" s="21"/>
    </row>
    <row r="714" spans="3:10" ht="12" customHeight="1" x14ac:dyDescent="0.25">
      <c r="C714" s="16" t="s">
        <v>34</v>
      </c>
      <c r="D714" s="32"/>
      <c r="E714" s="22"/>
      <c r="F714" s="18"/>
      <c r="G714" s="21"/>
      <c r="J714" s="50"/>
    </row>
    <row r="715" spans="3:10" ht="12" customHeight="1" x14ac:dyDescent="0.25">
      <c r="C715" s="16"/>
      <c r="D715" s="33" t="s">
        <v>38</v>
      </c>
      <c r="E715" s="34"/>
      <c r="F715" s="6">
        <f>+F33+F67+F101+F135+F169+F203+F237+F271+F305+F339+F373+F407+F441+F475+F510+F544+F578+F612+F646+F681</f>
        <v>8164403.7599999998</v>
      </c>
      <c r="G715" s="35">
        <f>+F715/F730+0.0001</f>
        <v>8.7894637342407003E-3</v>
      </c>
    </row>
    <row r="716" spans="3:10" ht="12" customHeight="1" x14ac:dyDescent="0.25">
      <c r="C716" s="16" t="s">
        <v>47</v>
      </c>
      <c r="D716" s="32"/>
      <c r="E716" s="22"/>
      <c r="F716" s="23"/>
      <c r="G716" s="35"/>
    </row>
    <row r="717" spans="3:10" ht="12" customHeight="1" x14ac:dyDescent="0.25">
      <c r="C717" s="16"/>
      <c r="D717" s="17" t="s">
        <v>44</v>
      </c>
      <c r="E717" s="12">
        <f>+F35+F69+E103+E137+F171+F205+E239+E273+E307+F341+E375+E409+F443+E477+F512+E546+E580+E614+E648+F683</f>
        <v>678936.71999999974</v>
      </c>
      <c r="F717" s="6"/>
      <c r="G717" s="5"/>
    </row>
    <row r="718" spans="3:10" ht="12" customHeight="1" x14ac:dyDescent="0.25">
      <c r="C718" s="16"/>
      <c r="D718" s="17" t="s">
        <v>8</v>
      </c>
      <c r="E718" s="6">
        <f>+E36+E70+E104+E138+E172+E206+E240+E274+E308+E342+E376+E410+E444+E478+E513+E547+E581+E615+E649+E684</f>
        <v>971129.04</v>
      </c>
      <c r="F718" s="24"/>
      <c r="G718" s="49"/>
    </row>
    <row r="719" spans="3:10" ht="12" customHeight="1" x14ac:dyDescent="0.25">
      <c r="C719" s="16"/>
      <c r="D719" s="17" t="s">
        <v>9</v>
      </c>
      <c r="E719" s="7">
        <f>+E37+E71+E105+E139+E173+E207+E241+E275+E309+E343+E377+E411+E445+E479+E514+E548+E582+E616+E650+E685</f>
        <v>1392599.4499999997</v>
      </c>
      <c r="F719" s="25">
        <f>SUM(E717:E720)</f>
        <v>3042665.2099999995</v>
      </c>
      <c r="G719" s="26">
        <f>+F719/F730</f>
        <v>3.2383416811481731E-3</v>
      </c>
    </row>
    <row r="720" spans="3:10" ht="12" hidden="1" customHeight="1" x14ac:dyDescent="0.25">
      <c r="C720" s="16"/>
      <c r="D720" s="17" t="s">
        <v>42</v>
      </c>
      <c r="E720" s="7">
        <f>+E38+E72+E106+E140+E174+E208+E242+E276+E310+E344+E378+E412+E446+E480+E515+E549+E583+E617+E651+E686</f>
        <v>0</v>
      </c>
    </row>
    <row r="721" spans="3:10" ht="12" customHeight="1" x14ac:dyDescent="0.25">
      <c r="C721" s="16"/>
      <c r="D721" s="27" t="s">
        <v>37</v>
      </c>
      <c r="E721" s="18"/>
      <c r="F721" s="28">
        <f>SUM(F704:F719)</f>
        <v>648646733.20000005</v>
      </c>
      <c r="G721" s="29">
        <f>+F721/F730</f>
        <v>0.690361774130963</v>
      </c>
      <c r="J721" s="45">
        <f>69.04+30.96</f>
        <v>100</v>
      </c>
    </row>
    <row r="722" spans="3:10" ht="6" customHeight="1" x14ac:dyDescent="0.25">
      <c r="C722" s="16"/>
      <c r="D722" s="27"/>
      <c r="E722" s="18"/>
      <c r="F722" s="30"/>
      <c r="G722" s="31"/>
    </row>
    <row r="723" spans="3:10" ht="6" customHeight="1" x14ac:dyDescent="0.25">
      <c r="C723" s="16"/>
      <c r="D723" s="27"/>
      <c r="E723" s="18"/>
      <c r="F723" s="30"/>
      <c r="G723" s="31"/>
    </row>
    <row r="724" spans="3:10" ht="12" customHeight="1" x14ac:dyDescent="0.25">
      <c r="C724" s="16" t="s">
        <v>10</v>
      </c>
      <c r="D724" s="17"/>
      <c r="E724" s="18"/>
      <c r="F724" s="22"/>
      <c r="G724" s="21"/>
      <c r="J724" s="45"/>
    </row>
    <row r="725" spans="3:10" ht="12" customHeight="1" x14ac:dyDescent="0.25">
      <c r="C725" s="16"/>
      <c r="D725" s="17" t="s">
        <v>11</v>
      </c>
      <c r="E725" s="12">
        <f>+E43+E77+E111+E145+E179+E213+E247+E281+E315+E349+E383+E417+E451+E485+E520+E554+E588+E622+E656+E691</f>
        <v>75935651.63000001</v>
      </c>
      <c r="F725" s="22"/>
      <c r="G725" s="21"/>
    </row>
    <row r="726" spans="3:10" ht="12" customHeight="1" x14ac:dyDescent="0.25">
      <c r="C726" s="16"/>
      <c r="D726" s="17" t="s">
        <v>12</v>
      </c>
      <c r="E726" s="7">
        <f>+E44+E78+E112+E146+E180+E214+E248+E282+E316+E350+E384+E418+E452+E486+E521+E555+E589+E623+E657+E692</f>
        <v>214992715.51000005</v>
      </c>
      <c r="F726" s="25">
        <f>SUM(E725:E726)</f>
        <v>290928367.14000005</v>
      </c>
      <c r="G726" s="36">
        <f>+F726/F730</f>
        <v>0.309638225869037</v>
      </c>
    </row>
    <row r="727" spans="3:10" ht="2.25" hidden="1" customHeight="1" x14ac:dyDescent="0.25">
      <c r="C727" s="16"/>
      <c r="D727" s="32"/>
      <c r="E727" s="22"/>
      <c r="F727" s="18"/>
      <c r="G727" s="21"/>
    </row>
    <row r="728" spans="3:10" ht="12" hidden="1" customHeight="1" x14ac:dyDescent="0.25">
      <c r="C728" s="16"/>
      <c r="D728" s="27" t="s">
        <v>37</v>
      </c>
      <c r="E728" s="18"/>
      <c r="F728" s="28">
        <f>SUM(F726)</f>
        <v>290928367.14000005</v>
      </c>
      <c r="G728" s="29">
        <f>+G726</f>
        <v>0.309638225869037</v>
      </c>
    </row>
    <row r="729" spans="3:10" ht="2.4500000000000002" hidden="1" customHeight="1" x14ac:dyDescent="0.25">
      <c r="C729" s="16"/>
      <c r="D729" s="32"/>
      <c r="E729" s="22"/>
      <c r="F729" s="18"/>
      <c r="G729" s="21"/>
    </row>
    <row r="730" spans="3:10" ht="13.5" customHeight="1" thickBot="1" x14ac:dyDescent="0.3">
      <c r="C730" s="16"/>
      <c r="D730" s="37" t="s">
        <v>13</v>
      </c>
      <c r="E730" s="22"/>
      <c r="F730" s="38">
        <f>+F721+F728</f>
        <v>939575100.34000015</v>
      </c>
      <c r="G730" s="39">
        <f>+G721+G728</f>
        <v>1</v>
      </c>
    </row>
    <row r="731" spans="3:10" ht="6" customHeight="1" thickTop="1" x14ac:dyDescent="0.25">
      <c r="C731" s="40"/>
      <c r="D731" s="41"/>
      <c r="E731" s="42"/>
      <c r="F731" s="42"/>
      <c r="G731" s="36"/>
    </row>
    <row r="733" spans="3:10" x14ac:dyDescent="0.25">
      <c r="D733" s="2" t="s">
        <v>45</v>
      </c>
      <c r="F733" s="2"/>
    </row>
    <row r="734" spans="3:10" x14ac:dyDescent="0.25">
      <c r="F734" s="2"/>
    </row>
    <row r="735" spans="3:10" x14ac:dyDescent="0.25">
      <c r="F735" s="45">
        <f>648646733.2+290928367.14</f>
        <v>939575100.34000003</v>
      </c>
    </row>
    <row r="736" spans="3:10" x14ac:dyDescent="0.25">
      <c r="F736" s="3">
        <f>+F730-F735</f>
        <v>0</v>
      </c>
    </row>
    <row r="739" spans="6:10" x14ac:dyDescent="0.25">
      <c r="J739" s="46"/>
    </row>
    <row r="740" spans="6:10" x14ac:dyDescent="0.25">
      <c r="J740" s="46"/>
    </row>
    <row r="741" spans="6:10" x14ac:dyDescent="0.25">
      <c r="J741" s="47"/>
    </row>
    <row r="742" spans="6:10" x14ac:dyDescent="0.25">
      <c r="J742" s="9"/>
    </row>
    <row r="743" spans="6:10" x14ac:dyDescent="0.25">
      <c r="F743" s="45"/>
    </row>
    <row r="744" spans="6:10" x14ac:dyDescent="0.25">
      <c r="F744" s="45"/>
    </row>
    <row r="745" spans="6:10" x14ac:dyDescent="0.25">
      <c r="F745" s="45"/>
    </row>
  </sheetData>
  <mergeCells count="42">
    <mergeCell ref="C702:D702"/>
    <mergeCell ref="C86:G86"/>
    <mergeCell ref="C120:G120"/>
    <mergeCell ref="C358:G358"/>
    <mergeCell ref="C392:G392"/>
    <mergeCell ref="C426:G426"/>
    <mergeCell ref="C460:G460"/>
    <mergeCell ref="C495:G495"/>
    <mergeCell ref="C326:D326"/>
    <mergeCell ref="C360:D360"/>
    <mergeCell ref="C394:D394"/>
    <mergeCell ref="C428:D428"/>
    <mergeCell ref="C224:D224"/>
    <mergeCell ref="C258:D258"/>
    <mergeCell ref="C292:D292"/>
    <mergeCell ref="C256:G256"/>
    <mergeCell ref="C18:G18"/>
    <mergeCell ref="C52:G52"/>
    <mergeCell ref="C154:G154"/>
    <mergeCell ref="C188:G188"/>
    <mergeCell ref="C222:G222"/>
    <mergeCell ref="C20:D20"/>
    <mergeCell ref="C54:D54"/>
    <mergeCell ref="C88:D88"/>
    <mergeCell ref="C122:D122"/>
    <mergeCell ref="C156:D156"/>
    <mergeCell ref="C190:D190"/>
    <mergeCell ref="C290:G290"/>
    <mergeCell ref="C324:G324"/>
    <mergeCell ref="C701:G701"/>
    <mergeCell ref="C462:D462"/>
    <mergeCell ref="C497:D497"/>
    <mergeCell ref="C531:D531"/>
    <mergeCell ref="C565:D565"/>
    <mergeCell ref="C599:D599"/>
    <mergeCell ref="C529:G529"/>
    <mergeCell ref="C666:G666"/>
    <mergeCell ref="C563:G563"/>
    <mergeCell ref="C597:G597"/>
    <mergeCell ref="C631:G631"/>
    <mergeCell ref="C633:D633"/>
    <mergeCell ref="C668:D668"/>
  </mergeCells>
  <pageMargins left="0.59055118110236227" right="0.70866141732283472" top="0.39370078740157483" bottom="0.98425196850393704" header="0.31496062992125984" footer="0.39370078740157483"/>
  <pageSetup scale="80" firstPageNumber="30" orientation="portrait" useFirstPageNumber="1" r:id="rId1"/>
  <headerFooter alignWithMargins="0">
    <oddFooter>&amp;C&amp;"Times New Roman,Normal"&amp;13&amp;P</oddFooter>
  </headerFooter>
  <rowBreaks count="10" manualBreakCount="10">
    <brk id="85" max="6" man="1"/>
    <brk id="153" max="6" man="1"/>
    <brk id="221" max="6" man="1"/>
    <brk id="289" max="6" man="1"/>
    <brk id="357" max="6" man="1"/>
    <brk id="425" max="6" man="1"/>
    <brk id="494" max="6" man="1"/>
    <brk id="562" max="6" man="1"/>
    <brk id="630" max="6" man="1"/>
    <brk id="69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 DIC 19</vt:lpstr>
      <vt:lpstr>'OCT DIC 19'!Área_de_impresión</vt:lpstr>
      <vt:lpstr>'OCT DIC 19'!Títulos_a_imprimir</vt:lpstr>
    </vt:vector>
  </TitlesOfParts>
  <Company>GOBIERNO DEL ESTADO NAYARIT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eorozco</dc:creator>
  <cp:lastModifiedBy>Maria del Carmen Ramos Carrillo</cp:lastModifiedBy>
  <cp:lastPrinted>2020-01-31T19:19:28Z</cp:lastPrinted>
  <dcterms:created xsi:type="dcterms:W3CDTF">2012-06-06T14:59:05Z</dcterms:created>
  <dcterms:modified xsi:type="dcterms:W3CDTF">2020-01-31T19:22:39Z</dcterms:modified>
</cp:coreProperties>
</file>